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085" tabRatio="744" activeTab="4"/>
  </bookViews>
  <sheets>
    <sheet name="Gráfico1" sheetId="1" r:id="rId1"/>
    <sheet name="Gráfico2" sheetId="2" r:id="rId2"/>
    <sheet name="Gráfico3" sheetId="3" r:id="rId3"/>
    <sheet name="Gráfico4" sheetId="4" r:id="rId4"/>
    <sheet name="Hoja1" sheetId="5" r:id="rId5"/>
    <sheet name="Hoja2" sheetId="6" r:id="rId6"/>
    <sheet name="Hoja3" sheetId="7" r:id="rId7"/>
  </sheets>
  <definedNames>
    <definedName name="_xlnm.Print_Area" localSheetId="4">'Hoja1'!$A$1:$U$19</definedName>
    <definedName name="_xlnm.Print_Area" localSheetId="6">'Hoja3'!$A$2:$M$27</definedName>
  </definedNames>
  <calcPr fullCalcOnLoad="1"/>
</workbook>
</file>

<file path=xl/sharedStrings.xml><?xml version="1.0" encoding="utf-8"?>
<sst xmlns="http://schemas.openxmlformats.org/spreadsheetml/2006/main" count="132" uniqueCount="62">
  <si>
    <t>(En nuevos soles)</t>
  </si>
  <si>
    <t>AGOSTO</t>
  </si>
  <si>
    <t>SETIEMBRE</t>
  </si>
  <si>
    <t>OCTUBRE</t>
  </si>
  <si>
    <t>NOVIEMBRE</t>
  </si>
  <si>
    <t>DICIEMBRE</t>
  </si>
  <si>
    <t>INTERSEGUROS</t>
  </si>
  <si>
    <t>CONVENIO FONDO - SAT</t>
  </si>
  <si>
    <t>ENERO</t>
  </si>
  <si>
    <t>FEBRERO</t>
  </si>
  <si>
    <t>MARZO</t>
  </si>
  <si>
    <t>ABRIL</t>
  </si>
  <si>
    <t>MAYO</t>
  </si>
  <si>
    <t>JUNIO</t>
  </si>
  <si>
    <t>JULIO</t>
  </si>
  <si>
    <t>LATINA</t>
  </si>
  <si>
    <t>Total Aporte por Compañía</t>
  </si>
  <si>
    <t>Meses  /  Compañías</t>
  </si>
  <si>
    <t>PACIFICO</t>
  </si>
  <si>
    <t>RIMAC</t>
  </si>
  <si>
    <t>MAPFRE</t>
  </si>
  <si>
    <t>Indemnización por Muerte no Cobrada</t>
  </si>
  <si>
    <t>Dif.</t>
  </si>
  <si>
    <t>LA POSITIVA</t>
  </si>
  <si>
    <t>MAPFRE PERÚ</t>
  </si>
  <si>
    <t>EL PACIFICO PERUANO SUIZA</t>
  </si>
  <si>
    <t>RIMAC INTERNACIONAL</t>
  </si>
  <si>
    <t>TOTAL</t>
  </si>
  <si>
    <t>Ventas</t>
  </si>
  <si>
    <t>1% Ventas</t>
  </si>
  <si>
    <t>Totales</t>
  </si>
  <si>
    <t>Ingreso Mensual en Cta. Cte</t>
  </si>
  <si>
    <t>Total Recaudado</t>
  </si>
  <si>
    <t>SULAMERICA</t>
  </si>
  <si>
    <t>GENERALI PERU</t>
  </si>
  <si>
    <t>CUADRO DE PRIMAS NETAS Y APORTES DE ASEGURADORAS AL FONDO SEGÚN EL MES CORRESPONDIENTE</t>
  </si>
  <si>
    <t>Acumulado</t>
  </si>
  <si>
    <t>Mensual</t>
  </si>
  <si>
    <t>CUADRO DE PRIMAS NETAS POR EMPRESA DE SEGUROS SEGÚN SBS</t>
  </si>
  <si>
    <t>Total Aportes Recaudado</t>
  </si>
  <si>
    <t>NOTA:  Este cuadro nos muestra los montos ingresados a la Cta.Cte. del Fondo, de acuerdo al mes que corresponde.</t>
  </si>
  <si>
    <t>INTERESES</t>
  </si>
  <si>
    <t>Total</t>
  </si>
  <si>
    <t>MUNI.PROV.</t>
  </si>
  <si>
    <t>CUADRO DE RECAUDACIÓN DEL FONDO DE COMPENSACIÓN DEL SOAT Y DEL CAT</t>
  </si>
  <si>
    <t>PROTECTA</t>
  </si>
  <si>
    <t>APORTE AFOCAT</t>
  </si>
  <si>
    <t>Depósito</t>
  </si>
  <si>
    <t>SBS</t>
  </si>
  <si>
    <t>Diferencia</t>
  </si>
  <si>
    <t>(a)</t>
  </si>
  <si>
    <t>La Positiva</t>
  </si>
  <si>
    <t>SEGÚN PLANILLAS</t>
  </si>
  <si>
    <t>DEV.GTOS</t>
  </si>
  <si>
    <t xml:space="preserve"> </t>
  </si>
  <si>
    <t>Indemnización por Muerte no Cobrada (AFOCAT)</t>
  </si>
  <si>
    <t>CARDIF</t>
  </si>
  <si>
    <t>ANEXO Nº 06</t>
  </si>
  <si>
    <t>ANEXO Nº 07</t>
  </si>
  <si>
    <t>NOTA:  Este cuadro nos muestra los montos reportados a la SBS por las Empresas Aseguradoras.</t>
  </si>
  <si>
    <t>LIQUIDACIO D.S.039-2008</t>
  </si>
  <si>
    <t>AL 31 DE DICIEMBRE DE 2016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</si>
</sst>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"/>
    <numFmt numFmtId="183" formatCode="_ * #\ ###\ ##0____\ ;_(* \(#\ ###\ ##0\)_ __\ ;_ * &quot;-&quot;??_ ;_ @_ "/>
    <numFmt numFmtId="184" formatCode="0.0"/>
    <numFmt numFmtId="185" formatCode="_ * #,##0.0_ ;_ * \-#,##0.0_ ;_ * &quot;-&quot;?_ ;_ @_ "/>
  </numFmts>
  <fonts count="5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.5"/>
      <name val="Arial Narrow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.1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10" fillId="34" borderId="12" xfId="0" applyNumberFormat="1" applyFont="1" applyFill="1" applyBorder="1" applyAlignment="1">
      <alignment horizontal="right" vertical="center" wrapText="1"/>
    </xf>
    <xf numFmtId="4" fontId="2" fillId="35" borderId="13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4" fontId="10" fillId="34" borderId="14" xfId="0" applyNumberFormat="1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horizontal="right" vertical="center" wrapText="1"/>
    </xf>
    <xf numFmtId="0" fontId="4" fillId="35" borderId="15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1" fontId="10" fillId="0" borderId="18" xfId="0" applyNumberFormat="1" applyFont="1" applyFill="1" applyBorder="1" applyAlignment="1">
      <alignment horizontal="right" vertical="center" wrapText="1"/>
    </xf>
    <xf numFmtId="0" fontId="4" fillId="35" borderId="17" xfId="0" applyFont="1" applyFill="1" applyBorder="1" applyAlignment="1">
      <alignment/>
    </xf>
    <xf numFmtId="49" fontId="2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/>
    </xf>
    <xf numFmtId="183" fontId="11" fillId="0" borderId="19" xfId="51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1" fillId="35" borderId="20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4" fontId="10" fillId="0" borderId="19" xfId="0" applyNumberFormat="1" applyFont="1" applyFill="1" applyBorder="1" applyAlignment="1">
      <alignment horizontal="right" vertical="center" wrapText="1"/>
    </xf>
    <xf numFmtId="4" fontId="10" fillId="0" borderId="18" xfId="0" applyNumberFormat="1" applyFont="1" applyFill="1" applyBorder="1" applyAlignment="1">
      <alignment horizontal="right" vertical="center" wrapText="1"/>
    </xf>
    <xf numFmtId="4" fontId="2" fillId="36" borderId="21" xfId="0" applyNumberFormat="1" applyFont="1" applyFill="1" applyBorder="1" applyAlignment="1">
      <alignment horizontal="right" vertical="center" wrapText="1"/>
    </xf>
    <xf numFmtId="4" fontId="1" fillId="36" borderId="22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 horizontal="right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4" fontId="2" fillId="35" borderId="18" xfId="0" applyNumberFormat="1" applyFont="1" applyFill="1" applyBorder="1" applyAlignment="1">
      <alignment horizontal="right" vertical="center" wrapText="1"/>
    </xf>
    <xf numFmtId="0" fontId="2" fillId="35" borderId="19" xfId="0" applyFont="1" applyFill="1" applyBorder="1" applyAlignment="1">
      <alignment horizontal="center" vertical="center" wrapText="1"/>
    </xf>
    <xf numFmtId="4" fontId="2" fillId="36" borderId="26" xfId="0" applyNumberFormat="1" applyFont="1" applyFill="1" applyBorder="1" applyAlignment="1">
      <alignment horizontal="right" vertical="center" wrapText="1"/>
    </xf>
    <xf numFmtId="4" fontId="2" fillId="36" borderId="27" xfId="0" applyNumberFormat="1" applyFont="1" applyFill="1" applyBorder="1" applyAlignment="1">
      <alignment horizontal="right" vertical="center" wrapText="1"/>
    </xf>
    <xf numFmtId="4" fontId="2" fillId="35" borderId="28" xfId="0" applyNumberFormat="1" applyFont="1" applyFill="1" applyBorder="1" applyAlignment="1">
      <alignment horizontal="right" vertical="center" wrapText="1"/>
    </xf>
    <xf numFmtId="0" fontId="2" fillId="35" borderId="29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4" fontId="2" fillId="36" borderId="30" xfId="0" applyNumberFormat="1" applyFont="1" applyFill="1" applyBorder="1" applyAlignment="1">
      <alignment horizontal="right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4" fontId="2" fillId="36" borderId="33" xfId="0" applyNumberFormat="1" applyFont="1" applyFill="1" applyBorder="1" applyAlignment="1">
      <alignment horizontal="righ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right" vertical="center" wrapText="1"/>
    </xf>
    <xf numFmtId="4" fontId="2" fillId="37" borderId="21" xfId="0" applyNumberFormat="1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vertical="center" wrapText="1"/>
    </xf>
    <xf numFmtId="1" fontId="10" fillId="0" borderId="25" xfId="0" applyNumberFormat="1" applyFont="1" applyFill="1" applyBorder="1" applyAlignment="1">
      <alignment horizontal="right" vertical="center" wrapText="1"/>
    </xf>
    <xf numFmtId="183" fontId="11" fillId="0" borderId="21" xfId="51" applyNumberFormat="1" applyFont="1" applyFill="1" applyBorder="1" applyAlignment="1">
      <alignment vertical="center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12" xfId="0" applyNumberFormat="1" applyBorder="1" applyAlignment="1">
      <alignment/>
    </xf>
    <xf numFmtId="4" fontId="1" fillId="0" borderId="12" xfId="0" applyNumberFormat="1" applyFont="1" applyBorder="1" applyAlignment="1">
      <alignment/>
    </xf>
    <xf numFmtId="183" fontId="11" fillId="37" borderId="19" xfId="51" applyNumberFormat="1" applyFont="1" applyFill="1" applyBorder="1" applyAlignment="1">
      <alignment vertical="center"/>
    </xf>
    <xf numFmtId="183" fontId="11" fillId="0" borderId="0" xfId="51" applyNumberFormat="1" applyFont="1" applyFill="1" applyBorder="1" applyAlignment="1">
      <alignment vertical="center"/>
    </xf>
    <xf numFmtId="0" fontId="5" fillId="35" borderId="35" xfId="0" applyFont="1" applyFill="1" applyBorder="1" applyAlignment="1">
      <alignment horizontal="center" vertical="center" wrapText="1"/>
    </xf>
    <xf numFmtId="0" fontId="5" fillId="35" borderId="36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4" fontId="10" fillId="34" borderId="37" xfId="0" applyNumberFormat="1" applyFont="1" applyFill="1" applyBorder="1" applyAlignment="1">
      <alignment horizontal="right" vertical="center" wrapText="1"/>
    </xf>
    <xf numFmtId="4" fontId="2" fillId="36" borderId="38" xfId="0" applyNumberFormat="1" applyFont="1" applyFill="1" applyBorder="1" applyAlignment="1">
      <alignment horizontal="right" vertical="center" wrapText="1"/>
    </xf>
    <xf numFmtId="4" fontId="10" fillId="34" borderId="29" xfId="0" applyNumberFormat="1" applyFont="1" applyFill="1" applyBorder="1" applyAlignment="1">
      <alignment horizontal="right" vertical="center" wrapText="1"/>
    </xf>
    <xf numFmtId="4" fontId="10" fillId="34" borderId="18" xfId="0" applyNumberFormat="1" applyFont="1" applyFill="1" applyBorder="1" applyAlignment="1">
      <alignment horizontal="right" vertical="center" wrapText="1"/>
    </xf>
    <xf numFmtId="4" fontId="2" fillId="36" borderId="39" xfId="0" applyNumberFormat="1" applyFont="1" applyFill="1" applyBorder="1" applyAlignment="1">
      <alignment horizontal="right" vertical="center" wrapText="1"/>
    </xf>
    <xf numFmtId="4" fontId="2" fillId="36" borderId="28" xfId="0" applyNumberFormat="1" applyFont="1" applyFill="1" applyBorder="1" applyAlignment="1">
      <alignment horizontal="right" vertical="center" wrapText="1"/>
    </xf>
    <xf numFmtId="4" fontId="10" fillId="0" borderId="21" xfId="0" applyNumberFormat="1" applyFont="1" applyFill="1" applyBorder="1" applyAlignment="1">
      <alignment horizontal="right" vertical="center" wrapText="1"/>
    </xf>
    <xf numFmtId="183" fontId="11" fillId="0" borderId="40" xfId="51" applyNumberFormat="1" applyFont="1" applyFill="1" applyBorder="1" applyAlignment="1">
      <alignment vertical="center"/>
    </xf>
    <xf numFmtId="4" fontId="10" fillId="0" borderId="41" xfId="0" applyNumberFormat="1" applyFont="1" applyFill="1" applyBorder="1" applyAlignment="1">
      <alignment horizontal="right" vertical="center" wrapText="1"/>
    </xf>
    <xf numFmtId="183" fontId="11" fillId="37" borderId="14" xfId="51" applyNumberFormat="1" applyFont="1" applyFill="1" applyBorder="1" applyAlignment="1">
      <alignment vertical="center"/>
    </xf>
    <xf numFmtId="183" fontId="11" fillId="37" borderId="0" xfId="5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6" fillId="0" borderId="42" xfId="0" applyFont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44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[0]_Primas_1_092001Pub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RECAUDACIÓN POR EMPRESA ASEGURADORA 2016</a:t>
            </a:r>
          </a:p>
        </c:rich>
      </c:tx>
      <c:layout>
        <c:manualLayout>
          <c:xMode val="factor"/>
          <c:yMode val="factor"/>
          <c:x val="0.03"/>
          <c:y val="0.066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675"/>
          <c:y val="0.308"/>
          <c:w val="0.44725"/>
          <c:h val="0.319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  <c:separator>;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  <c:separator>;</c:separator>
          </c:dLbls>
          <c:cat>
            <c:strRef>
              <c:f>Hoja1!$B$6:$F$6</c:f>
              <c:strCache>
                <c:ptCount val="5"/>
                <c:pt idx="0">
                  <c:v>LA POSITIVA</c:v>
                </c:pt>
                <c:pt idx="1">
                  <c:v>MAPFRE</c:v>
                </c:pt>
                <c:pt idx="2">
                  <c:v>INTERSEGUROS</c:v>
                </c:pt>
                <c:pt idx="3">
                  <c:v>PACIFICO</c:v>
                </c:pt>
                <c:pt idx="4">
                  <c:v>RIMAC</c:v>
                </c:pt>
              </c:strCache>
            </c:strRef>
          </c:cat>
          <c:val>
            <c:numRef>
              <c:f>Hoja1!$B$19:$F$19</c:f>
              <c:numCache>
                <c:ptCount val="5"/>
                <c:pt idx="0">
                  <c:v>1988285.49</c:v>
                </c:pt>
                <c:pt idx="1">
                  <c:v>589845.44</c:v>
                </c:pt>
                <c:pt idx="2">
                  <c:v>296221.85</c:v>
                </c:pt>
                <c:pt idx="3">
                  <c:v>153331.58000000002</c:v>
                </c:pt>
                <c:pt idx="4">
                  <c:v>599536.37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15"/>
          <c:y val="0.8155"/>
          <c:w val="0.53075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POR TIPO DE INGRESO 2016</a:t>
            </a:r>
          </a:p>
        </c:rich>
      </c:tx>
      <c:layout>
        <c:manualLayout>
          <c:xMode val="factor"/>
          <c:yMode val="factor"/>
          <c:x val="0.015"/>
          <c:y val="0.013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675"/>
          <c:y val="0.137"/>
          <c:w val="0.89675"/>
          <c:h val="0.727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C3D69B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solidFill>
                  <a:srgbClr val="333399"/>
                </a:solidFill>
              </a:ln>
            </c:spPr>
          </c:dPt>
          <c:dPt>
            <c:idx val="4"/>
            <c:invertIfNegative val="0"/>
            <c:spPr>
              <a:solidFill>
                <a:srgbClr val="B3A2C7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Hoja1!$L$6:$R$6</c:f>
              <c:strCache>
                <c:ptCount val="7"/>
                <c:pt idx="0">
                  <c:v>Total Aportes Recaudado</c:v>
                </c:pt>
                <c:pt idx="1">
                  <c:v>CONVENIO FONDO - SAT</c:v>
                </c:pt>
                <c:pt idx="2">
                  <c:v>DEV.GTOS</c:v>
                </c:pt>
                <c:pt idx="3">
                  <c:v>LIQUIDACIO D.S.039-2008</c:v>
                </c:pt>
                <c:pt idx="4">
                  <c:v>INTERESES</c:v>
                </c:pt>
                <c:pt idx="5">
                  <c:v>MUNI.PROV.</c:v>
                </c:pt>
                <c:pt idx="6">
                  <c:v>Indemnización por Muerte no Cobrada</c:v>
                </c:pt>
              </c:strCache>
            </c:strRef>
          </c:cat>
          <c:val>
            <c:numRef>
              <c:f>Hoja1!$L$19:$R$19</c:f>
              <c:numCache>
                <c:ptCount val="7"/>
                <c:pt idx="0">
                  <c:v>3864279.1000000006</c:v>
                </c:pt>
                <c:pt idx="1">
                  <c:v>774296.41</c:v>
                </c:pt>
                <c:pt idx="2">
                  <c:v>57.400000000000006</c:v>
                </c:pt>
                <c:pt idx="3">
                  <c:v>0</c:v>
                </c:pt>
                <c:pt idx="4">
                  <c:v>10915.19</c:v>
                </c:pt>
                <c:pt idx="5">
                  <c:v>121688.23000000001</c:v>
                </c:pt>
                <c:pt idx="6">
                  <c:v>990400</c:v>
                </c:pt>
              </c:numCache>
            </c:numRef>
          </c:val>
          <c:shape val="box"/>
        </c:ser>
        <c:shape val="box"/>
        <c:axId val="30183293"/>
        <c:axId val="3214182"/>
        <c:axId val="28927639"/>
      </c:bar3DChart>
      <c:catAx>
        <c:axId val="30183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4182"/>
        <c:crosses val="autoZero"/>
        <c:auto val="1"/>
        <c:lblOffset val="100"/>
        <c:tickLblSkip val="1"/>
        <c:noMultiLvlLbl val="0"/>
      </c:catAx>
      <c:valAx>
        <c:axId val="32141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83293"/>
        <c:crossesAt val="1"/>
        <c:crossBetween val="between"/>
        <c:dispUnits/>
      </c:valAx>
      <c:serAx>
        <c:axId val="28927639"/>
        <c:scaling>
          <c:orientation val="minMax"/>
        </c:scaling>
        <c:axPos val="b"/>
        <c:delete val="1"/>
        <c:majorTickMark val="out"/>
        <c:minorTickMark val="none"/>
        <c:tickLblPos val="nextTo"/>
        <c:crossAx val="3214182"/>
        <c:crosses val="autoZero"/>
        <c:tickLblSkip val="1"/>
        <c:tickMarkSkip val="1"/>
      </c:ser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 2016</a:t>
            </a:r>
          </a:p>
        </c:rich>
      </c:tx>
      <c:layout>
        <c:manualLayout>
          <c:xMode val="factor"/>
          <c:yMode val="factor"/>
          <c:x val="0.0185"/>
          <c:y val="0.01875"/>
        </c:manualLayout>
      </c:layout>
      <c:spPr>
        <a:noFill/>
        <a:ln w="3175">
          <a:noFill/>
        </a:ln>
      </c:spPr>
    </c:title>
    <c:view3D>
      <c:rotX val="44"/>
      <c:hPercent val="186"/>
      <c:rotY val="44"/>
      <c:depthPercent val="100"/>
      <c:rAngAx val="1"/>
    </c:view3D>
    <c:plotArea>
      <c:layout>
        <c:manualLayout>
          <c:xMode val="edge"/>
          <c:yMode val="edge"/>
          <c:x val="0.0605"/>
          <c:y val="0.1455"/>
          <c:w val="0.90125"/>
          <c:h val="0.776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333399"/>
                </a:solidFill>
              </a:ln>
            </c:spPr>
          </c:dPt>
          <c:dPt>
            <c:idx val="2"/>
            <c:invertIfNegative val="0"/>
            <c:spPr>
              <a:solidFill>
                <a:srgbClr val="E6B9B8"/>
              </a:solidFill>
              <a:ln w="3175">
                <a:solidFill>
                  <a:srgbClr val="333399"/>
                </a:solidFill>
              </a:ln>
            </c:spPr>
          </c:dPt>
          <c:dPt>
            <c:idx val="3"/>
            <c:invertIfNegative val="0"/>
            <c:spPr>
              <a:solidFill>
                <a:srgbClr val="93CDDD"/>
              </a:solidFill>
              <a:ln w="3175">
                <a:solidFill>
                  <a:srgbClr val="333399"/>
                </a:solidFill>
              </a:ln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Hoja1!$U$7:$U$18</c:f>
              <c:numCache>
                <c:ptCount val="12"/>
                <c:pt idx="0">
                  <c:v>472473.13999999996</c:v>
                </c:pt>
                <c:pt idx="1">
                  <c:v>599785.19</c:v>
                </c:pt>
                <c:pt idx="2">
                  <c:v>562782.97</c:v>
                </c:pt>
                <c:pt idx="3">
                  <c:v>569501.3400000001</c:v>
                </c:pt>
                <c:pt idx="4">
                  <c:v>577749.08</c:v>
                </c:pt>
                <c:pt idx="5">
                  <c:v>546877.73</c:v>
                </c:pt>
                <c:pt idx="6">
                  <c:v>486257.9000000001</c:v>
                </c:pt>
                <c:pt idx="7">
                  <c:v>598883.57</c:v>
                </c:pt>
                <c:pt idx="8">
                  <c:v>602401.1399999999</c:v>
                </c:pt>
                <c:pt idx="9">
                  <c:v>534413.3300000001</c:v>
                </c:pt>
                <c:pt idx="10">
                  <c:v>349275.24000000005</c:v>
                </c:pt>
                <c:pt idx="11">
                  <c:v>388162.05000000005</c:v>
                </c:pt>
              </c:numCache>
            </c:numRef>
          </c:val>
          <c:shape val="box"/>
        </c:ser>
        <c:shape val="box"/>
        <c:axId val="59022160"/>
        <c:axId val="61437393"/>
      </c:bar3DChart>
      <c:catAx>
        <c:axId val="5902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MES DE RECAUDACIÓN</a:t>
                </a:r>
              </a:p>
            </c:rich>
          </c:tx>
          <c:layout>
            <c:manualLayout>
              <c:xMode val="factor"/>
              <c:yMode val="factor"/>
              <c:x val="-0.10125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437393"/>
        <c:crosses val="autoZero"/>
        <c:auto val="1"/>
        <c:lblOffset val="100"/>
        <c:tickLblSkip val="1"/>
        <c:noMultiLvlLbl val="0"/>
      </c:catAx>
      <c:valAx>
        <c:axId val="61437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MONTO RECAUDADO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221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E9EDF4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EDF4"/>
        </a:solidFill>
        <a:ln w="3175">
          <a:noFill/>
        </a:ln>
      </c:spPr>
      <c:thickness val="0"/>
    </c:sideWall>
    <c:backWall>
      <c:spPr>
        <a:solidFill>
          <a:srgbClr val="E9ED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RECAUDACIÓN MENSUAL- SAT LIMA
(2016)</a:t>
            </a:r>
          </a:p>
        </c:rich>
      </c:tx>
      <c:layout>
        <c:manualLayout>
          <c:xMode val="factor"/>
          <c:yMode val="factor"/>
          <c:x val="0.0045"/>
          <c:y val="0.06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"/>
          <c:y val="0.254"/>
          <c:w val="0.86575"/>
          <c:h val="0.649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B3A2C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31859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Hoja1!$A$7:$A$18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Hoja1!$M$7:$M$18</c:f>
              <c:numCache>
                <c:ptCount val="12"/>
                <c:pt idx="0">
                  <c:v>95812.29</c:v>
                </c:pt>
                <c:pt idx="1">
                  <c:v>83793.95</c:v>
                </c:pt>
                <c:pt idx="2">
                  <c:v>49155.44</c:v>
                </c:pt>
                <c:pt idx="3">
                  <c:v>72408.01</c:v>
                </c:pt>
                <c:pt idx="4">
                  <c:v>42933.21</c:v>
                </c:pt>
                <c:pt idx="5">
                  <c:v>49678.03</c:v>
                </c:pt>
                <c:pt idx="6">
                  <c:v>80932.98000000001</c:v>
                </c:pt>
                <c:pt idx="7">
                  <c:v>50391.64</c:v>
                </c:pt>
                <c:pt idx="8">
                  <c:v>81712.52</c:v>
                </c:pt>
                <c:pt idx="9">
                  <c:v>67352.59</c:v>
                </c:pt>
                <c:pt idx="10">
                  <c:v>49417.63</c:v>
                </c:pt>
                <c:pt idx="11">
                  <c:v>50708.12</c:v>
                </c:pt>
              </c:numCache>
            </c:numRef>
          </c:val>
        </c:ser>
        <c:gapWidth val="100"/>
        <c:axId val="16065626"/>
        <c:axId val="10372907"/>
      </c:barChart>
      <c:catAx>
        <c:axId val="160656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72907"/>
        <c:crosses val="autoZero"/>
        <c:auto val="1"/>
        <c:lblOffset val="100"/>
        <c:tickLblSkip val="1"/>
        <c:noMultiLvlLbl val="0"/>
      </c:catAx>
      <c:valAx>
        <c:axId val="10372907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5626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17" right="0.2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" footer="0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5715000"/>
    <xdr:graphicFrame>
      <xdr:nvGraphicFramePr>
        <xdr:cNvPr id="1" name="Chart 1"/>
        <xdr:cNvGraphicFramePr/>
      </xdr:nvGraphicFramePr>
      <xdr:xfrm>
        <a:off x="0" y="0"/>
        <a:ext cx="10287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87000" cy="5715000"/>
    <xdr:graphicFrame>
      <xdr:nvGraphicFramePr>
        <xdr:cNvPr id="1" name="Shape 1025"/>
        <xdr:cNvGraphicFramePr/>
      </xdr:nvGraphicFramePr>
      <xdr:xfrm>
        <a:off x="0" y="0"/>
        <a:ext cx="10287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11.421875" defaultRowHeight="12.75"/>
  <cols>
    <col min="1" max="1" width="20.8515625" style="0" customWidth="1"/>
    <col min="2" max="8" width="12.7109375" style="0" customWidth="1"/>
    <col min="9" max="9" width="10.28125" style="0" customWidth="1"/>
    <col min="10" max="10" width="10.8515625" style="0" customWidth="1"/>
    <col min="11" max="11" width="9.8515625" style="0" customWidth="1"/>
    <col min="12" max="13" width="12.7109375" style="0" customWidth="1"/>
    <col min="14" max="15" width="10.8515625" style="0" customWidth="1"/>
    <col min="16" max="16" width="10.7109375" style="0" customWidth="1"/>
    <col min="17" max="17" width="11.00390625" style="0" customWidth="1"/>
    <col min="18" max="23" width="12.7109375" style="0" customWidth="1"/>
  </cols>
  <sheetData>
    <row r="1" spans="1:21" ht="22.5" customHeight="1" thickBot="1">
      <c r="A1" s="75" t="s">
        <v>57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3" ht="18.75" thickBot="1">
      <c r="A2" s="76" t="s">
        <v>44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8"/>
      <c r="V2" s="11"/>
      <c r="W2" s="12"/>
    </row>
    <row r="3" spans="1:23" ht="18.75" thickBot="1">
      <c r="A3" s="76" t="s">
        <v>61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8"/>
      <c r="V3" s="15"/>
      <c r="W3" s="15"/>
    </row>
    <row r="4" spans="1:23" ht="12.75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13"/>
      <c r="W4" s="13"/>
    </row>
    <row r="5" spans="1:17" ht="13.5" thickBot="1">
      <c r="A5" s="74"/>
      <c r="B5" s="7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3" ht="39.75" customHeight="1">
      <c r="A6" s="28" t="s">
        <v>17</v>
      </c>
      <c r="B6" s="39" t="s">
        <v>23</v>
      </c>
      <c r="C6" s="39" t="s">
        <v>20</v>
      </c>
      <c r="D6" s="40" t="s">
        <v>6</v>
      </c>
      <c r="E6" s="39" t="s">
        <v>18</v>
      </c>
      <c r="F6" s="40" t="s">
        <v>19</v>
      </c>
      <c r="G6" s="40" t="s">
        <v>56</v>
      </c>
      <c r="H6" s="40" t="s">
        <v>45</v>
      </c>
      <c r="I6" s="40" t="s">
        <v>33</v>
      </c>
      <c r="J6" s="41" t="s">
        <v>34</v>
      </c>
      <c r="K6" s="39" t="s">
        <v>15</v>
      </c>
      <c r="L6" s="3" t="s">
        <v>39</v>
      </c>
      <c r="M6" s="29" t="s">
        <v>7</v>
      </c>
      <c r="N6" s="29" t="s">
        <v>53</v>
      </c>
      <c r="O6" s="29" t="s">
        <v>60</v>
      </c>
      <c r="P6" s="29" t="s">
        <v>41</v>
      </c>
      <c r="Q6" s="42" t="s">
        <v>43</v>
      </c>
      <c r="R6" s="42" t="s">
        <v>21</v>
      </c>
      <c r="S6" s="42" t="s">
        <v>55</v>
      </c>
      <c r="T6" s="50" t="s">
        <v>46</v>
      </c>
      <c r="U6" s="30" t="s">
        <v>32</v>
      </c>
      <c r="V6" s="36" t="s">
        <v>31</v>
      </c>
      <c r="W6" s="3" t="s">
        <v>22</v>
      </c>
    </row>
    <row r="7" spans="1:23" ht="39.75" customHeight="1">
      <c r="A7" s="32" t="s">
        <v>8</v>
      </c>
      <c r="B7" s="6">
        <f>163085.43</f>
        <v>163085.43</v>
      </c>
      <c r="C7" s="6">
        <v>48151.21</v>
      </c>
      <c r="D7" s="6">
        <v>25908.09</v>
      </c>
      <c r="E7" s="6">
        <v>15371.7</v>
      </c>
      <c r="F7" s="6">
        <v>0</v>
      </c>
      <c r="G7" s="6">
        <v>17382.42</v>
      </c>
      <c r="H7" s="6">
        <v>19.06</v>
      </c>
      <c r="I7" s="6">
        <v>0</v>
      </c>
      <c r="J7" s="6">
        <v>0</v>
      </c>
      <c r="K7" s="6">
        <v>0</v>
      </c>
      <c r="L7" s="7">
        <f>SUM(B7:K7)</f>
        <v>269917.91</v>
      </c>
      <c r="M7" s="9">
        <v>95812.29</v>
      </c>
      <c r="N7" s="9">
        <v>0</v>
      </c>
      <c r="O7" s="9">
        <v>0</v>
      </c>
      <c r="P7" s="9">
        <v>0</v>
      </c>
      <c r="Q7" s="9">
        <v>3902.2400000000002</v>
      </c>
      <c r="R7" s="9">
        <v>52800</v>
      </c>
      <c r="S7" s="9">
        <v>0</v>
      </c>
      <c r="T7" s="9">
        <f>48309.7+1731</f>
        <v>50040.7</v>
      </c>
      <c r="U7" s="31">
        <f>SUM(L7:T7)</f>
        <v>472473.13999999996</v>
      </c>
      <c r="V7" s="37">
        <v>596955.39</v>
      </c>
      <c r="W7" s="10">
        <f>V7-U7</f>
        <v>124482.25000000006</v>
      </c>
    </row>
    <row r="8" spans="1:23" ht="39.75" customHeight="1">
      <c r="A8" s="32" t="s">
        <v>9</v>
      </c>
      <c r="B8" s="6">
        <v>192740.54</v>
      </c>
      <c r="C8" s="6">
        <v>52214.32</v>
      </c>
      <c r="D8" s="6">
        <v>28217.81</v>
      </c>
      <c r="E8" s="6">
        <v>18249.47</v>
      </c>
      <c r="F8" s="6">
        <f>62497.85+60467.52</f>
        <v>122965.37</v>
      </c>
      <c r="G8" s="6">
        <v>23076.92</v>
      </c>
      <c r="H8" s="6">
        <v>207.19</v>
      </c>
      <c r="I8" s="6">
        <v>0</v>
      </c>
      <c r="J8" s="6">
        <v>0</v>
      </c>
      <c r="K8" s="6">
        <v>0</v>
      </c>
      <c r="L8" s="7">
        <f aca="true" t="shared" si="0" ref="L8:L18">SUM(B8:K8)</f>
        <v>437671.62</v>
      </c>
      <c r="M8" s="9">
        <v>83793.95</v>
      </c>
      <c r="N8" s="9">
        <v>5.6</v>
      </c>
      <c r="O8" s="9">
        <v>0</v>
      </c>
      <c r="P8" s="9">
        <v>3252.4400000000005</v>
      </c>
      <c r="Q8" s="9">
        <v>11314.88</v>
      </c>
      <c r="R8" s="9">
        <v>34600</v>
      </c>
      <c r="S8" s="9">
        <v>0</v>
      </c>
      <c r="T8" s="9">
        <f>27113.7+2033</f>
        <v>29146.7</v>
      </c>
      <c r="U8" s="31">
        <f aca="true" t="shared" si="1" ref="U8:U18">SUM(L8:T8)</f>
        <v>599785.19</v>
      </c>
      <c r="V8" s="37">
        <v>593086.01</v>
      </c>
      <c r="W8" s="10">
        <f aca="true" t="shared" si="2" ref="W8:W18">V8-U8</f>
        <v>-6699.179999999935</v>
      </c>
    </row>
    <row r="9" spans="1:23" ht="39.75" customHeight="1">
      <c r="A9" s="32" t="s">
        <v>10</v>
      </c>
      <c r="B9" s="6">
        <v>190584.27</v>
      </c>
      <c r="C9" s="6">
        <v>45713.24</v>
      </c>
      <c r="D9" s="6">
        <v>26417.39</v>
      </c>
      <c r="E9" s="6">
        <v>16825.29</v>
      </c>
      <c r="F9" s="6">
        <v>52112.49</v>
      </c>
      <c r="G9" s="6">
        <v>16176.53</v>
      </c>
      <c r="H9" s="6">
        <v>79.38</v>
      </c>
      <c r="I9" s="6">
        <v>0</v>
      </c>
      <c r="J9" s="6">
        <v>0</v>
      </c>
      <c r="K9" s="6">
        <v>0</v>
      </c>
      <c r="L9" s="7">
        <f t="shared" si="0"/>
        <v>347908.58999999997</v>
      </c>
      <c r="M9" s="9">
        <f>51189.44-2034</f>
        <v>49155.44</v>
      </c>
      <c r="N9" s="9">
        <v>0</v>
      </c>
      <c r="O9" s="9">
        <v>0</v>
      </c>
      <c r="P9" s="9">
        <v>20.14</v>
      </c>
      <c r="Q9" s="9">
        <v>21625.350000000002</v>
      </c>
      <c r="R9" s="9">
        <v>113400</v>
      </c>
      <c r="S9" s="9">
        <v>0</v>
      </c>
      <c r="T9" s="9">
        <f>28639.45+2034</f>
        <v>30673.45</v>
      </c>
      <c r="U9" s="31">
        <f t="shared" si="1"/>
        <v>562782.97</v>
      </c>
      <c r="V9" s="37">
        <v>246661.72</v>
      </c>
      <c r="W9" s="10">
        <f t="shared" si="2"/>
        <v>-316121.25</v>
      </c>
    </row>
    <row r="10" spans="1:23" ht="39.75" customHeight="1">
      <c r="A10" s="32" t="s">
        <v>11</v>
      </c>
      <c r="B10" s="6">
        <v>160480.41</v>
      </c>
      <c r="C10" s="6">
        <v>40821.55</v>
      </c>
      <c r="D10" s="6">
        <v>24137.62</v>
      </c>
      <c r="E10" s="6">
        <v>17967.01</v>
      </c>
      <c r="F10" s="6">
        <v>44531.73</v>
      </c>
      <c r="G10" s="6">
        <v>15072.33</v>
      </c>
      <c r="H10" s="6">
        <v>689.15</v>
      </c>
      <c r="I10" s="6">
        <v>0</v>
      </c>
      <c r="J10" s="6">
        <v>0</v>
      </c>
      <c r="K10" s="6">
        <v>0</v>
      </c>
      <c r="L10" s="7">
        <f t="shared" si="0"/>
        <v>303699.80000000005</v>
      </c>
      <c r="M10" s="9">
        <f>97480.34-(15072.33+10000)</f>
        <v>72408.01</v>
      </c>
      <c r="N10" s="9">
        <v>0</v>
      </c>
      <c r="O10" s="9">
        <v>0</v>
      </c>
      <c r="P10" s="9">
        <v>0</v>
      </c>
      <c r="Q10" s="9">
        <v>28942.15</v>
      </c>
      <c r="R10" s="9">
        <f>121600-15200</f>
        <v>106400</v>
      </c>
      <c r="S10" s="9">
        <v>15200</v>
      </c>
      <c r="T10" s="9">
        <f>32851.38+10000</f>
        <v>42851.38</v>
      </c>
      <c r="U10" s="31">
        <f t="shared" si="1"/>
        <v>569501.3400000001</v>
      </c>
      <c r="V10" s="37">
        <v>315968.6</v>
      </c>
      <c r="W10" s="10">
        <f t="shared" si="2"/>
        <v>-253532.7400000001</v>
      </c>
    </row>
    <row r="11" spans="1:25" ht="39.75" customHeight="1">
      <c r="A11" s="32" t="s">
        <v>12</v>
      </c>
      <c r="B11" s="6">
        <v>166010.44</v>
      </c>
      <c r="C11" s="6">
        <v>47771.15</v>
      </c>
      <c r="D11" s="6">
        <v>26047.49</v>
      </c>
      <c r="E11" s="6">
        <v>15989.84</v>
      </c>
      <c r="F11" s="6">
        <v>37118.93</v>
      </c>
      <c r="G11" s="6">
        <v>14551.89</v>
      </c>
      <c r="H11" s="6">
        <v>992.43</v>
      </c>
      <c r="I11" s="6">
        <v>0</v>
      </c>
      <c r="J11" s="6">
        <v>0</v>
      </c>
      <c r="K11" s="6">
        <v>0</v>
      </c>
      <c r="L11" s="7">
        <f t="shared" si="0"/>
        <v>308482.17</v>
      </c>
      <c r="M11" s="9">
        <f>80169.53-(33721.32+1501+2014)</f>
        <v>42933.21</v>
      </c>
      <c r="N11" s="9">
        <v>14</v>
      </c>
      <c r="O11" s="9">
        <v>0</v>
      </c>
      <c r="P11" s="9">
        <v>0</v>
      </c>
      <c r="Q11" s="9">
        <v>370.15999999999997</v>
      </c>
      <c r="R11" s="9">
        <v>144400</v>
      </c>
      <c r="S11" s="9">
        <v>15200</v>
      </c>
      <c r="T11" s="9">
        <f>29113.22+33721.32+1501+2014</f>
        <v>66349.54000000001</v>
      </c>
      <c r="U11" s="31">
        <f t="shared" si="1"/>
        <v>577749.08</v>
      </c>
      <c r="V11" s="37">
        <v>282099.85</v>
      </c>
      <c r="W11" s="10">
        <f t="shared" si="2"/>
        <v>-295649.23</v>
      </c>
      <c r="Y11" s="19"/>
    </row>
    <row r="12" spans="1:23" ht="39.75" customHeight="1">
      <c r="A12" s="32" t="s">
        <v>13</v>
      </c>
      <c r="B12" s="6">
        <v>164794.04</v>
      </c>
      <c r="C12" s="6">
        <v>47697.23</v>
      </c>
      <c r="D12" s="6">
        <v>19776.54</v>
      </c>
      <c r="E12" s="6">
        <v>0</v>
      </c>
      <c r="F12" s="6">
        <v>43681</v>
      </c>
      <c r="G12" s="6">
        <v>16200.13</v>
      </c>
      <c r="H12" s="6">
        <v>1592.91</v>
      </c>
      <c r="I12" s="6">
        <v>0</v>
      </c>
      <c r="J12" s="6">
        <v>0</v>
      </c>
      <c r="K12" s="6">
        <v>0</v>
      </c>
      <c r="L12" s="7">
        <f t="shared" si="0"/>
        <v>293741.85000000003</v>
      </c>
      <c r="M12" s="9">
        <v>49678.03</v>
      </c>
      <c r="N12" s="9">
        <v>0</v>
      </c>
      <c r="O12" s="9">
        <v>0</v>
      </c>
      <c r="P12" s="9">
        <v>0</v>
      </c>
      <c r="Q12" s="9">
        <v>10805.900000000005</v>
      </c>
      <c r="R12" s="9">
        <v>151200</v>
      </c>
      <c r="S12" s="9">
        <v>0</v>
      </c>
      <c r="T12" s="9">
        <v>41451.95</v>
      </c>
      <c r="U12" s="31">
        <f t="shared" si="1"/>
        <v>546877.73</v>
      </c>
      <c r="V12" s="37">
        <v>337909.51</v>
      </c>
      <c r="W12" s="10">
        <f t="shared" si="2"/>
        <v>-208968.21999999997</v>
      </c>
    </row>
    <row r="13" spans="1:23" ht="39.75" customHeight="1">
      <c r="A13" s="32" t="s">
        <v>14</v>
      </c>
      <c r="B13" s="6">
        <v>166906.09</v>
      </c>
      <c r="C13" s="6">
        <v>46568.86</v>
      </c>
      <c r="D13" s="6">
        <v>20917.4</v>
      </c>
      <c r="E13" s="6">
        <v>0</v>
      </c>
      <c r="F13" s="6">
        <v>52248.29</v>
      </c>
      <c r="G13" s="6">
        <v>13595.34</v>
      </c>
      <c r="H13" s="6">
        <v>0</v>
      </c>
      <c r="I13" s="6">
        <v>0</v>
      </c>
      <c r="J13" s="6">
        <v>0</v>
      </c>
      <c r="K13" s="6">
        <v>0</v>
      </c>
      <c r="L13" s="7">
        <f t="shared" si="0"/>
        <v>300235.98000000004</v>
      </c>
      <c r="M13" s="9">
        <f>98110.32-(13595.34+1850+1732)</f>
        <v>80932.98000000001</v>
      </c>
      <c r="N13" s="9">
        <v>8.4</v>
      </c>
      <c r="O13" s="9">
        <v>0</v>
      </c>
      <c r="P13" s="9">
        <v>7642.61</v>
      </c>
      <c r="Q13" s="9">
        <v>732.89</v>
      </c>
      <c r="R13" s="9">
        <v>60800</v>
      </c>
      <c r="S13" s="9">
        <v>0</v>
      </c>
      <c r="T13" s="9">
        <f>32323.04+1850+1732</f>
        <v>35905.04</v>
      </c>
      <c r="U13" s="31">
        <f t="shared" si="1"/>
        <v>486257.9000000001</v>
      </c>
      <c r="V13" s="37">
        <v>233052.03</v>
      </c>
      <c r="W13" s="10">
        <f t="shared" si="2"/>
        <v>-253205.87000000008</v>
      </c>
    </row>
    <row r="14" spans="1:23" ht="39.75" customHeight="1">
      <c r="A14" s="32" t="s">
        <v>1</v>
      </c>
      <c r="B14" s="6">
        <v>183215.88</v>
      </c>
      <c r="C14" s="6">
        <f>583.9+51919.99</f>
        <v>52503.89</v>
      </c>
      <c r="D14" s="6">
        <v>23202.05</v>
      </c>
      <c r="E14" s="6">
        <f>16863+16880</f>
        <v>33743</v>
      </c>
      <c r="F14" s="6">
        <v>76877.67</v>
      </c>
      <c r="G14" s="6">
        <v>26126.46</v>
      </c>
      <c r="H14" s="6">
        <v>2890.73</v>
      </c>
      <c r="I14" s="6">
        <v>0</v>
      </c>
      <c r="J14" s="6">
        <v>0</v>
      </c>
      <c r="K14" s="6">
        <v>0</v>
      </c>
      <c r="L14" s="7">
        <f t="shared" si="0"/>
        <v>398559.68</v>
      </c>
      <c r="M14" s="9">
        <f>50391.64</f>
        <v>50391.64</v>
      </c>
      <c r="N14" s="9">
        <v>5.6</v>
      </c>
      <c r="O14" s="9">
        <v>0</v>
      </c>
      <c r="P14" s="9">
        <v>0</v>
      </c>
      <c r="Q14" s="9">
        <v>15313.45</v>
      </c>
      <c r="R14" s="9">
        <v>106400</v>
      </c>
      <c r="S14" s="9">
        <v>0</v>
      </c>
      <c r="T14" s="9">
        <f>28213.2</f>
        <v>28213.2</v>
      </c>
      <c r="U14" s="31">
        <f t="shared" si="1"/>
        <v>598883.57</v>
      </c>
      <c r="V14" s="37">
        <v>675494.81</v>
      </c>
      <c r="W14" s="10">
        <f t="shared" si="2"/>
        <v>76611.2400000001</v>
      </c>
    </row>
    <row r="15" spans="1:23" ht="39.75" customHeight="1">
      <c r="A15" s="32" t="s">
        <v>2</v>
      </c>
      <c r="B15" s="6">
        <v>185966.52</v>
      </c>
      <c r="C15" s="6">
        <v>53868.51</v>
      </c>
      <c r="D15" s="6">
        <v>28970.92</v>
      </c>
      <c r="E15" s="6">
        <v>16275.82</v>
      </c>
      <c r="F15" s="6">
        <v>47404.03</v>
      </c>
      <c r="G15" s="6">
        <v>18015.42</v>
      </c>
      <c r="H15" s="6">
        <f>3654.66+5154.52</f>
        <v>8809.18</v>
      </c>
      <c r="I15" s="6">
        <v>0</v>
      </c>
      <c r="J15" s="6">
        <v>0</v>
      </c>
      <c r="K15" s="6">
        <v>0</v>
      </c>
      <c r="L15" s="7">
        <f t="shared" si="0"/>
        <v>359310.4</v>
      </c>
      <c r="M15" s="9">
        <v>81712.52</v>
      </c>
      <c r="N15" s="9">
        <v>4.2</v>
      </c>
      <c r="O15" s="9">
        <v>0</v>
      </c>
      <c r="P15" s="9">
        <v>0</v>
      </c>
      <c r="Q15" s="9">
        <v>3186.3500000000004</v>
      </c>
      <c r="R15" s="9">
        <v>83600</v>
      </c>
      <c r="S15" s="9">
        <v>0</v>
      </c>
      <c r="T15" s="9">
        <v>74587.66999999998</v>
      </c>
      <c r="U15" s="31">
        <f t="shared" si="1"/>
        <v>602401.1399999999</v>
      </c>
      <c r="V15" s="37">
        <v>0</v>
      </c>
      <c r="W15" s="10">
        <f t="shared" si="2"/>
        <v>-602401.1399999999</v>
      </c>
    </row>
    <row r="16" spans="1:23" ht="39.75" customHeight="1">
      <c r="A16" s="32" t="s">
        <v>3</v>
      </c>
      <c r="B16" s="6">
        <v>160992.94</v>
      </c>
      <c r="C16" s="6">
        <v>53237.53</v>
      </c>
      <c r="D16" s="6">
        <v>24079.05</v>
      </c>
      <c r="E16" s="6">
        <v>18909.45</v>
      </c>
      <c r="F16" s="6">
        <v>44910.94</v>
      </c>
      <c r="G16" s="6">
        <v>15099.9</v>
      </c>
      <c r="H16" s="6">
        <v>3970.19</v>
      </c>
      <c r="I16" s="6">
        <v>0</v>
      </c>
      <c r="J16" s="6">
        <v>0</v>
      </c>
      <c r="K16" s="6">
        <v>0</v>
      </c>
      <c r="L16" s="7">
        <f t="shared" si="0"/>
        <v>321200.00000000006</v>
      </c>
      <c r="M16" s="9">
        <f>69426.59-2074</f>
        <v>67352.59</v>
      </c>
      <c r="N16" s="9">
        <v>0</v>
      </c>
      <c r="O16" s="9">
        <v>0</v>
      </c>
      <c r="P16" s="9">
        <v>0</v>
      </c>
      <c r="Q16" s="9">
        <v>5288.02</v>
      </c>
      <c r="R16" s="9">
        <v>98800</v>
      </c>
      <c r="S16" s="9">
        <v>0</v>
      </c>
      <c r="T16" s="9">
        <f>39698.72+2074</f>
        <v>41772.72</v>
      </c>
      <c r="U16" s="31">
        <f t="shared" si="1"/>
        <v>534413.3300000001</v>
      </c>
      <c r="V16" s="37">
        <v>0</v>
      </c>
      <c r="W16" s="10">
        <f t="shared" si="2"/>
        <v>-534413.3300000001</v>
      </c>
    </row>
    <row r="17" spans="1:23" ht="39.75" customHeight="1">
      <c r="A17" s="32" t="s">
        <v>4</v>
      </c>
      <c r="B17" s="6">
        <v>130270.94</v>
      </c>
      <c r="C17" s="6">
        <v>52910.98</v>
      </c>
      <c r="D17" s="6">
        <v>22642.63</v>
      </c>
      <c r="E17" s="6">
        <v>0</v>
      </c>
      <c r="F17" s="6">
        <v>39585.09</v>
      </c>
      <c r="G17" s="6">
        <v>14241.87</v>
      </c>
      <c r="H17" s="6">
        <v>6377.78</v>
      </c>
      <c r="I17" s="6">
        <v>0</v>
      </c>
      <c r="J17" s="6">
        <v>0</v>
      </c>
      <c r="K17" s="6">
        <v>0</v>
      </c>
      <c r="L17" s="7">
        <f t="shared" si="0"/>
        <v>266029.29000000004</v>
      </c>
      <c r="M17" s="9">
        <f>51007.63-1590</f>
        <v>49417.63</v>
      </c>
      <c r="N17" s="9">
        <v>9.8</v>
      </c>
      <c r="O17" s="9">
        <v>0</v>
      </c>
      <c r="P17" s="9">
        <v>0</v>
      </c>
      <c r="Q17" s="9">
        <v>1745.2</v>
      </c>
      <c r="R17" s="9">
        <v>7600</v>
      </c>
      <c r="S17" s="9">
        <v>0</v>
      </c>
      <c r="T17" s="9">
        <f>22883.32+1590</f>
        <v>24473.32</v>
      </c>
      <c r="U17" s="31">
        <f t="shared" si="1"/>
        <v>349275.24000000005</v>
      </c>
      <c r="V17" s="37">
        <v>0</v>
      </c>
      <c r="W17" s="10">
        <f t="shared" si="2"/>
        <v>-349275.24000000005</v>
      </c>
    </row>
    <row r="18" spans="1:23" ht="39.75" customHeight="1">
      <c r="A18" s="32" t="s">
        <v>5</v>
      </c>
      <c r="B18" s="6">
        <v>123237.99</v>
      </c>
      <c r="C18" s="6">
        <v>48386.97</v>
      </c>
      <c r="D18" s="6">
        <v>25904.86</v>
      </c>
      <c r="E18" s="6">
        <v>0</v>
      </c>
      <c r="F18" s="6">
        <v>38100.83</v>
      </c>
      <c r="G18" s="6">
        <v>13686.54</v>
      </c>
      <c r="H18" s="9">
        <v>8204.62</v>
      </c>
      <c r="I18" s="6">
        <v>0</v>
      </c>
      <c r="J18" s="6">
        <v>0</v>
      </c>
      <c r="K18" s="6">
        <v>0</v>
      </c>
      <c r="L18" s="7">
        <f t="shared" si="0"/>
        <v>257521.81000000003</v>
      </c>
      <c r="M18" s="9">
        <f>52262.12-1554</f>
        <v>50708.12</v>
      </c>
      <c r="N18" s="9">
        <v>9.8</v>
      </c>
      <c r="O18" s="9">
        <v>0</v>
      </c>
      <c r="P18" s="9">
        <v>0</v>
      </c>
      <c r="Q18" s="9">
        <v>18461.64</v>
      </c>
      <c r="R18" s="9">
        <v>30400</v>
      </c>
      <c r="S18" s="9">
        <v>0</v>
      </c>
      <c r="T18" s="9">
        <f>29506.68+1554</f>
        <v>31060.68</v>
      </c>
      <c r="U18" s="31">
        <f t="shared" si="1"/>
        <v>388162.05000000005</v>
      </c>
      <c r="V18" s="37">
        <v>0</v>
      </c>
      <c r="W18" s="10">
        <f t="shared" si="2"/>
        <v>-388162.05000000005</v>
      </c>
    </row>
    <row r="19" spans="1:23" ht="39.75" customHeight="1" thickBot="1">
      <c r="A19" s="49" t="s">
        <v>16</v>
      </c>
      <c r="B19" s="43">
        <f aca="true" t="shared" si="3" ref="B19:K19">SUM(B7:B18)</f>
        <v>1988285.49</v>
      </c>
      <c r="C19" s="43">
        <f t="shared" si="3"/>
        <v>589845.44</v>
      </c>
      <c r="D19" s="43">
        <f t="shared" si="3"/>
        <v>296221.85</v>
      </c>
      <c r="E19" s="43">
        <f t="shared" si="3"/>
        <v>153331.58000000002</v>
      </c>
      <c r="F19" s="43">
        <f t="shared" si="3"/>
        <v>599536.37</v>
      </c>
      <c r="G19" s="43">
        <f>SUM(G7:G18)</f>
        <v>203225.75</v>
      </c>
      <c r="H19" s="43">
        <f>SUM(H7:H18)</f>
        <v>33832.62</v>
      </c>
      <c r="I19" s="43">
        <f>SUM(I7:I18)</f>
        <v>0</v>
      </c>
      <c r="J19" s="43">
        <f>SUM(J7:J18)</f>
        <v>0</v>
      </c>
      <c r="K19" s="43">
        <f t="shared" si="3"/>
        <v>0</v>
      </c>
      <c r="L19" s="8">
        <f aca="true" t="shared" si="4" ref="L19:W19">SUM(L7:L18)</f>
        <v>3864279.1000000006</v>
      </c>
      <c r="M19" s="33">
        <f>SUM(M7:M18)</f>
        <v>774296.41</v>
      </c>
      <c r="N19" s="33">
        <f>SUM(N7:N18)</f>
        <v>57.400000000000006</v>
      </c>
      <c r="O19" s="33">
        <f>SUM(O7:O18)</f>
        <v>0</v>
      </c>
      <c r="P19" s="33">
        <f t="shared" si="4"/>
        <v>10915.19</v>
      </c>
      <c r="Q19" s="33">
        <f>SUM(Q7:Q18)</f>
        <v>121688.23000000001</v>
      </c>
      <c r="R19" s="34">
        <f>SUM(R7:R18)</f>
        <v>990400</v>
      </c>
      <c r="S19" s="34">
        <f t="shared" si="4"/>
        <v>30400</v>
      </c>
      <c r="T19" s="34">
        <f t="shared" si="4"/>
        <v>496526.35</v>
      </c>
      <c r="U19" s="35">
        <f t="shared" si="4"/>
        <v>6288562.68</v>
      </c>
      <c r="V19" s="38">
        <f t="shared" si="4"/>
        <v>3281227.92</v>
      </c>
      <c r="W19" s="4">
        <f t="shared" si="4"/>
        <v>-3007334.76</v>
      </c>
    </row>
    <row r="20" spans="1:17" ht="39.75" customHeight="1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23" ht="18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17" ht="39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39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39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39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39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39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39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39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3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39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3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3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3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3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3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39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3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39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3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3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39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3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3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39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39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39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39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39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39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sheetProtection/>
  <mergeCells count="5">
    <mergeCell ref="A5:B5"/>
    <mergeCell ref="A1:U1"/>
    <mergeCell ref="A2:U2"/>
    <mergeCell ref="A4:U4"/>
    <mergeCell ref="A3:U3"/>
  </mergeCells>
  <printOptions horizontalCentered="1" verticalCentered="1"/>
  <pageMargins left="0.2" right="0.1968503937007874" top="0.5511811023622047" bottom="0.7086614173228347" header="0" footer="0.4724409448818898"/>
  <pageSetup horizontalDpi="300" verticalDpi="300" orientation="landscape" paperSize="9" scale="54" r:id="rId1"/>
  <headerFooter alignWithMargins="0">
    <oddFooter>&amp;L&amp;12Fuente: Fondo de Compensación del SOAT y del CAT&amp;R&amp;12&amp;P/&amp;N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28"/>
  <sheetViews>
    <sheetView zoomScalePageLayoutView="0" workbookViewId="0" topLeftCell="A7">
      <selection activeCell="K29" sqref="K29"/>
    </sheetView>
  </sheetViews>
  <sheetFormatPr defaultColWidth="11.421875" defaultRowHeight="12.75"/>
  <cols>
    <col min="2" max="17" width="13.421875" style="0" customWidth="1"/>
  </cols>
  <sheetData>
    <row r="2" spans="1:17" ht="18.75" thickBot="1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</row>
    <row r="3" spans="1:17" ht="18.75" thickBot="1">
      <c r="A3" s="76" t="s">
        <v>35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8"/>
    </row>
    <row r="4" spans="1:17" ht="18.75" thickBot="1">
      <c r="A4" s="76" t="str">
        <f>Hoja1!A3</f>
        <v>AL 31 DE DICIEMBRE DE 2016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8"/>
    </row>
    <row r="5" spans="1:17" ht="12.75">
      <c r="A5" s="79" t="s">
        <v>0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7" ht="13.5" thickBot="1"/>
    <row r="8" spans="1:17" ht="25.5">
      <c r="A8" s="44" t="s">
        <v>17</v>
      </c>
      <c r="B8" s="81" t="s">
        <v>23</v>
      </c>
      <c r="C8" s="82"/>
      <c r="D8" s="81" t="s">
        <v>24</v>
      </c>
      <c r="E8" s="82"/>
      <c r="F8" s="83" t="s">
        <v>6</v>
      </c>
      <c r="G8" s="84"/>
      <c r="H8" s="81" t="s">
        <v>25</v>
      </c>
      <c r="I8" s="82"/>
      <c r="J8" s="83" t="s">
        <v>26</v>
      </c>
      <c r="K8" s="85"/>
      <c r="L8" s="83" t="s">
        <v>56</v>
      </c>
      <c r="M8" s="85"/>
      <c r="N8" s="86" t="s">
        <v>45</v>
      </c>
      <c r="O8" s="87"/>
      <c r="P8" s="89" t="s">
        <v>27</v>
      </c>
      <c r="Q8" s="90"/>
    </row>
    <row r="9" spans="1:17" ht="12.75">
      <c r="A9" s="45"/>
      <c r="B9" s="21" t="s">
        <v>28</v>
      </c>
      <c r="C9" s="22" t="s">
        <v>29</v>
      </c>
      <c r="D9" s="21" t="s">
        <v>28</v>
      </c>
      <c r="E9" s="22" t="s">
        <v>29</v>
      </c>
      <c r="F9" s="21" t="s">
        <v>28</v>
      </c>
      <c r="G9" s="22" t="s">
        <v>29</v>
      </c>
      <c r="H9" s="21" t="s">
        <v>28</v>
      </c>
      <c r="I9" s="22" t="s">
        <v>29</v>
      </c>
      <c r="J9" s="21" t="s">
        <v>28</v>
      </c>
      <c r="K9" s="62" t="s">
        <v>29</v>
      </c>
      <c r="L9" s="21" t="s">
        <v>28</v>
      </c>
      <c r="M9" s="62" t="s">
        <v>29</v>
      </c>
      <c r="N9" s="21" t="s">
        <v>28</v>
      </c>
      <c r="O9" s="22" t="s">
        <v>29</v>
      </c>
      <c r="P9" s="21" t="s">
        <v>28</v>
      </c>
      <c r="Q9" s="22" t="s">
        <v>29</v>
      </c>
    </row>
    <row r="10" spans="1:17" ht="12.75">
      <c r="A10" s="46" t="s">
        <v>8</v>
      </c>
      <c r="B10" s="23">
        <v>16308543</v>
      </c>
      <c r="C10" s="6">
        <v>163085.43</v>
      </c>
      <c r="D10" s="23">
        <v>4815121</v>
      </c>
      <c r="E10" s="6">
        <v>48151.21</v>
      </c>
      <c r="F10" s="23">
        <v>2590809</v>
      </c>
      <c r="G10" s="6">
        <v>25908.09</v>
      </c>
      <c r="H10" s="23">
        <v>1537170</v>
      </c>
      <c r="I10" s="6">
        <v>15371.7</v>
      </c>
      <c r="J10" s="23">
        <v>0</v>
      </c>
      <c r="K10" s="63">
        <v>0</v>
      </c>
      <c r="L10" s="23">
        <v>1738242</v>
      </c>
      <c r="M10" s="6">
        <v>17382.42</v>
      </c>
      <c r="N10" s="23">
        <v>1906</v>
      </c>
      <c r="O10" s="66">
        <v>19.06</v>
      </c>
      <c r="P10" s="23">
        <f aca="true" t="shared" si="0" ref="P10:Q17">B10+D10+F10+H10+J10+L10+N10</f>
        <v>26991791</v>
      </c>
      <c r="Q10" s="71">
        <f t="shared" si="0"/>
        <v>269917.91</v>
      </c>
    </row>
    <row r="11" spans="1:17" ht="12.75">
      <c r="A11" s="46" t="s">
        <v>9</v>
      </c>
      <c r="B11" s="23">
        <v>19274054</v>
      </c>
      <c r="C11" s="6">
        <v>192740.54</v>
      </c>
      <c r="D11" s="23">
        <v>5221432</v>
      </c>
      <c r="E11" s="6">
        <v>52214.32</v>
      </c>
      <c r="F11" s="23">
        <v>2821781</v>
      </c>
      <c r="G11" s="6">
        <v>28217.81</v>
      </c>
      <c r="H11" s="23">
        <v>1824947</v>
      </c>
      <c r="I11" s="6">
        <v>18249.47</v>
      </c>
      <c r="J11" s="23">
        <v>12296537</v>
      </c>
      <c r="K11" s="6">
        <f>62497.85+60467.52</f>
        <v>122965.37</v>
      </c>
      <c r="L11" s="23">
        <v>2307692</v>
      </c>
      <c r="M11" s="6">
        <v>23076.92</v>
      </c>
      <c r="N11" s="23">
        <v>20719</v>
      </c>
      <c r="O11" s="66">
        <v>207.19</v>
      </c>
      <c r="P11" s="23">
        <f t="shared" si="0"/>
        <v>43767162</v>
      </c>
      <c r="Q11" s="71">
        <f t="shared" si="0"/>
        <v>437671.62</v>
      </c>
    </row>
    <row r="12" spans="1:17" ht="12.75">
      <c r="A12" s="46" t="s">
        <v>10</v>
      </c>
      <c r="B12" s="23">
        <v>19058427</v>
      </c>
      <c r="C12" s="6">
        <v>190584.27</v>
      </c>
      <c r="D12" s="23">
        <v>4571324</v>
      </c>
      <c r="E12" s="6">
        <v>45713.24</v>
      </c>
      <c r="F12" s="23">
        <v>2641739</v>
      </c>
      <c r="G12" s="6">
        <v>26417.39</v>
      </c>
      <c r="H12" s="23">
        <v>1682529</v>
      </c>
      <c r="I12" s="6">
        <v>16825.29</v>
      </c>
      <c r="J12" s="23">
        <v>5211249</v>
      </c>
      <c r="K12" s="6">
        <v>52112.49</v>
      </c>
      <c r="L12" s="23">
        <v>1617653</v>
      </c>
      <c r="M12" s="6">
        <v>16176.53</v>
      </c>
      <c r="N12" s="23">
        <v>7938</v>
      </c>
      <c r="O12" s="6">
        <v>79.38</v>
      </c>
      <c r="P12" s="23">
        <f t="shared" si="0"/>
        <v>34790859</v>
      </c>
      <c r="Q12" s="71">
        <f t="shared" si="0"/>
        <v>347908.58999999997</v>
      </c>
    </row>
    <row r="13" spans="1:17" ht="12.75">
      <c r="A13" s="46" t="s">
        <v>11</v>
      </c>
      <c r="B13" s="23">
        <v>16048041</v>
      </c>
      <c r="C13" s="6">
        <v>160480.41</v>
      </c>
      <c r="D13" s="23">
        <v>4082155</v>
      </c>
      <c r="E13" s="6">
        <v>40821.55</v>
      </c>
      <c r="F13" s="23">
        <v>2413762</v>
      </c>
      <c r="G13" s="6">
        <v>24137.62</v>
      </c>
      <c r="H13" s="23">
        <v>1796701</v>
      </c>
      <c r="I13" s="6">
        <v>17967.01</v>
      </c>
      <c r="J13" s="23">
        <v>4453173</v>
      </c>
      <c r="K13" s="6">
        <v>44531.73</v>
      </c>
      <c r="L13" s="23">
        <v>1507233</v>
      </c>
      <c r="M13" s="6">
        <v>15072.33</v>
      </c>
      <c r="N13" s="23">
        <v>68915</v>
      </c>
      <c r="O13" s="6">
        <v>689.15</v>
      </c>
      <c r="P13" s="23">
        <f t="shared" si="0"/>
        <v>30369980</v>
      </c>
      <c r="Q13" s="71">
        <f t="shared" si="0"/>
        <v>303699.80000000005</v>
      </c>
    </row>
    <row r="14" spans="1:17" ht="12.75">
      <c r="A14" s="46" t="s">
        <v>12</v>
      </c>
      <c r="B14" s="23">
        <v>16601044</v>
      </c>
      <c r="C14" s="6">
        <v>166010.44</v>
      </c>
      <c r="D14" s="23">
        <v>4777115</v>
      </c>
      <c r="E14" s="6">
        <v>47771.15</v>
      </c>
      <c r="F14" s="23">
        <v>2604749</v>
      </c>
      <c r="G14" s="6">
        <v>26047.49</v>
      </c>
      <c r="H14" s="23">
        <v>1598984</v>
      </c>
      <c r="I14" s="6">
        <v>15989.84</v>
      </c>
      <c r="J14" s="23">
        <v>3711893</v>
      </c>
      <c r="K14" s="6">
        <v>37118.93</v>
      </c>
      <c r="L14" s="23">
        <v>1455189</v>
      </c>
      <c r="M14" s="6">
        <v>14551.89</v>
      </c>
      <c r="N14" s="23">
        <v>99243</v>
      </c>
      <c r="O14" s="6">
        <v>992.43</v>
      </c>
      <c r="P14" s="23">
        <f t="shared" si="0"/>
        <v>30848217</v>
      </c>
      <c r="Q14" s="71">
        <f t="shared" si="0"/>
        <v>308482.17</v>
      </c>
    </row>
    <row r="15" spans="1:17" ht="12.75">
      <c r="A15" s="46" t="s">
        <v>13</v>
      </c>
      <c r="B15" s="23">
        <v>16479404</v>
      </c>
      <c r="C15" s="6">
        <v>164794.04</v>
      </c>
      <c r="D15" s="23">
        <v>4769723</v>
      </c>
      <c r="E15" s="6">
        <v>47697.23</v>
      </c>
      <c r="F15" s="23">
        <v>1977654</v>
      </c>
      <c r="G15" s="6">
        <v>19776.54</v>
      </c>
      <c r="H15" s="23">
        <v>1688000</v>
      </c>
      <c r="I15" s="6">
        <v>16880</v>
      </c>
      <c r="J15" s="23">
        <v>4368100</v>
      </c>
      <c r="K15" s="6">
        <v>43681</v>
      </c>
      <c r="L15" s="23">
        <v>1620013</v>
      </c>
      <c r="M15" s="6">
        <v>16200.13</v>
      </c>
      <c r="N15" s="23">
        <v>159291</v>
      </c>
      <c r="O15" s="6">
        <v>1592.91</v>
      </c>
      <c r="P15" s="23">
        <f t="shared" si="0"/>
        <v>31062185</v>
      </c>
      <c r="Q15" s="71">
        <f t="shared" si="0"/>
        <v>310621.85000000003</v>
      </c>
    </row>
    <row r="16" spans="1:17" ht="12.75">
      <c r="A16" s="46" t="s">
        <v>14</v>
      </c>
      <c r="B16" s="23">
        <v>16690609</v>
      </c>
      <c r="C16" s="6">
        <v>166906.09</v>
      </c>
      <c r="D16" s="23">
        <v>4656886</v>
      </c>
      <c r="E16" s="6">
        <v>46568.86</v>
      </c>
      <c r="F16" s="23">
        <v>2091740</v>
      </c>
      <c r="G16" s="6">
        <v>20917.4</v>
      </c>
      <c r="H16" s="23">
        <v>1686300</v>
      </c>
      <c r="I16" s="6">
        <v>16863</v>
      </c>
      <c r="J16" s="23">
        <v>5224829</v>
      </c>
      <c r="K16" s="6">
        <v>52248.29</v>
      </c>
      <c r="L16" s="23">
        <v>1359534</v>
      </c>
      <c r="M16" s="6">
        <v>13595.34</v>
      </c>
      <c r="N16" s="23">
        <v>0</v>
      </c>
      <c r="O16" s="6">
        <v>0</v>
      </c>
      <c r="P16" s="23">
        <f t="shared" si="0"/>
        <v>31709898</v>
      </c>
      <c r="Q16" s="71">
        <f t="shared" si="0"/>
        <v>317098.98000000004</v>
      </c>
    </row>
    <row r="17" spans="1:17" ht="12.75">
      <c r="A17" s="46" t="s">
        <v>1</v>
      </c>
      <c r="B17" s="23">
        <v>18321588</v>
      </c>
      <c r="C17" s="6">
        <v>183215.88</v>
      </c>
      <c r="D17" s="23">
        <v>5191999</v>
      </c>
      <c r="E17" s="6">
        <v>51919.99</v>
      </c>
      <c r="F17" s="23">
        <v>2320205</v>
      </c>
      <c r="G17" s="6">
        <v>23202.05</v>
      </c>
      <c r="H17" s="23"/>
      <c r="I17" s="6">
        <v>0</v>
      </c>
      <c r="J17" s="23">
        <v>7687767</v>
      </c>
      <c r="K17" s="6">
        <v>76877.67</v>
      </c>
      <c r="L17" s="23">
        <v>2612646</v>
      </c>
      <c r="M17" s="6">
        <v>26126.46</v>
      </c>
      <c r="N17" s="23">
        <v>289073</v>
      </c>
      <c r="O17" s="6">
        <v>2890.73</v>
      </c>
      <c r="P17" s="23">
        <f t="shared" si="0"/>
        <v>36423278</v>
      </c>
      <c r="Q17" s="24">
        <f t="shared" si="0"/>
        <v>364232.77999999997</v>
      </c>
    </row>
    <row r="18" spans="1:17" ht="12.75">
      <c r="A18" s="46" t="s">
        <v>2</v>
      </c>
      <c r="B18" s="23">
        <v>18596652</v>
      </c>
      <c r="C18" s="6">
        <v>185966.52</v>
      </c>
      <c r="D18" s="23">
        <v>5386851</v>
      </c>
      <c r="E18" s="6">
        <v>53868.51</v>
      </c>
      <c r="F18" s="23">
        <v>2897092</v>
      </c>
      <c r="G18" s="6">
        <v>28970.92</v>
      </c>
      <c r="H18" s="23">
        <v>1627582</v>
      </c>
      <c r="I18" s="6">
        <v>16275.82</v>
      </c>
      <c r="J18" s="23">
        <v>4740403</v>
      </c>
      <c r="K18" s="6">
        <v>47404.03</v>
      </c>
      <c r="L18" s="23">
        <v>1801542</v>
      </c>
      <c r="M18" s="63">
        <v>18015.42</v>
      </c>
      <c r="N18" s="23">
        <v>880918</v>
      </c>
      <c r="O18" s="66">
        <v>8809.18</v>
      </c>
      <c r="P18" s="23">
        <f aca="true" t="shared" si="1" ref="P18:Q20">B18+D18+F18+H18+J18+L18+N18</f>
        <v>35931040</v>
      </c>
      <c r="Q18" s="24">
        <f t="shared" si="1"/>
        <v>359310.4</v>
      </c>
    </row>
    <row r="19" spans="1:17" ht="12.75">
      <c r="A19" s="46" t="s">
        <v>3</v>
      </c>
      <c r="B19" s="23">
        <v>16099294</v>
      </c>
      <c r="C19" s="6">
        <v>160992.94</v>
      </c>
      <c r="D19" s="23">
        <v>5323753</v>
      </c>
      <c r="E19" s="6">
        <v>53237.53</v>
      </c>
      <c r="F19" s="23">
        <v>2407905</v>
      </c>
      <c r="G19" s="6">
        <v>24079.05</v>
      </c>
      <c r="H19" s="23">
        <v>1890945</v>
      </c>
      <c r="I19" s="6">
        <v>18909.45</v>
      </c>
      <c r="J19" s="23">
        <v>4491094</v>
      </c>
      <c r="K19" s="6">
        <v>44910.94</v>
      </c>
      <c r="L19" s="23">
        <v>1509990</v>
      </c>
      <c r="M19" s="63">
        <v>15099.9</v>
      </c>
      <c r="N19" s="23">
        <v>397019</v>
      </c>
      <c r="O19" s="66">
        <v>3970.19</v>
      </c>
      <c r="P19" s="23">
        <f t="shared" si="1"/>
        <v>32120000</v>
      </c>
      <c r="Q19" s="24">
        <f t="shared" si="1"/>
        <v>321200.00000000006</v>
      </c>
    </row>
    <row r="20" spans="1:17" ht="12.75">
      <c r="A20" s="46" t="s">
        <v>4</v>
      </c>
      <c r="B20" s="23">
        <v>13027094</v>
      </c>
      <c r="C20" s="6">
        <v>130270.94</v>
      </c>
      <c r="D20" s="23">
        <v>5291098</v>
      </c>
      <c r="E20" s="6">
        <v>52910.98</v>
      </c>
      <c r="F20" s="23">
        <v>2264263</v>
      </c>
      <c r="G20" s="6">
        <v>22642.63</v>
      </c>
      <c r="H20" s="23"/>
      <c r="I20" s="6"/>
      <c r="J20" s="23">
        <v>3958509</v>
      </c>
      <c r="K20" s="6">
        <v>39585.09</v>
      </c>
      <c r="L20" s="23">
        <v>1424187</v>
      </c>
      <c r="M20" s="6">
        <v>14241.87</v>
      </c>
      <c r="N20" s="23">
        <v>637778</v>
      </c>
      <c r="O20" s="6">
        <v>6377.78</v>
      </c>
      <c r="P20" s="23">
        <f t="shared" si="1"/>
        <v>26602929</v>
      </c>
      <c r="Q20" s="24">
        <f t="shared" si="1"/>
        <v>266029.29000000004</v>
      </c>
    </row>
    <row r="21" spans="1:17" ht="13.5" thickBot="1">
      <c r="A21" s="46" t="s">
        <v>5</v>
      </c>
      <c r="B21" s="23">
        <v>12323799</v>
      </c>
      <c r="C21" s="6">
        <v>123237.99</v>
      </c>
      <c r="D21" s="23">
        <v>4838697</v>
      </c>
      <c r="E21" s="6">
        <v>48386.97</v>
      </c>
      <c r="F21" s="23">
        <v>2590486</v>
      </c>
      <c r="G21" s="6">
        <v>25904.86</v>
      </c>
      <c r="H21" s="23"/>
      <c r="I21" s="6"/>
      <c r="J21" s="23">
        <v>3810083</v>
      </c>
      <c r="K21" s="6">
        <v>38100.83</v>
      </c>
      <c r="L21" s="23"/>
      <c r="M21" s="65"/>
      <c r="N21" s="69">
        <v>820462</v>
      </c>
      <c r="O21" s="9">
        <v>8204.62</v>
      </c>
      <c r="P21" s="23">
        <f>B21+D21+F21+H21+J21+L21+N21</f>
        <v>24383527</v>
      </c>
      <c r="Q21" s="24">
        <f>C21+E21+G21+I21+K21+M21+O21</f>
        <v>243835.27000000002</v>
      </c>
    </row>
    <row r="22" spans="1:17" ht="13.5" thickBot="1">
      <c r="A22" s="47" t="s">
        <v>30</v>
      </c>
      <c r="B22" s="25">
        <f aca="true" t="shared" si="2" ref="B22:Q22">SUM(B10:B21)</f>
        <v>198828549</v>
      </c>
      <c r="C22" s="26">
        <f t="shared" si="2"/>
        <v>1988285.49</v>
      </c>
      <c r="D22" s="25">
        <f t="shared" si="2"/>
        <v>58926154</v>
      </c>
      <c r="E22" s="26">
        <f t="shared" si="2"/>
        <v>589261.5399999999</v>
      </c>
      <c r="F22" s="25">
        <f t="shared" si="2"/>
        <v>29622185</v>
      </c>
      <c r="G22" s="27">
        <f t="shared" si="2"/>
        <v>296221.85</v>
      </c>
      <c r="H22" s="25">
        <f t="shared" si="2"/>
        <v>15333158</v>
      </c>
      <c r="I22" s="27">
        <f t="shared" si="2"/>
        <v>153331.58000000002</v>
      </c>
      <c r="J22" s="25">
        <f t="shared" si="2"/>
        <v>59953637</v>
      </c>
      <c r="K22" s="64">
        <f t="shared" si="2"/>
        <v>599536.37</v>
      </c>
      <c r="L22" s="25">
        <f t="shared" si="2"/>
        <v>18953921</v>
      </c>
      <c r="M22" s="64">
        <f t="shared" si="2"/>
        <v>189539.21</v>
      </c>
      <c r="N22" s="67">
        <f t="shared" si="2"/>
        <v>3383262</v>
      </c>
      <c r="O22" s="68">
        <f t="shared" si="2"/>
        <v>33832.62</v>
      </c>
      <c r="P22" s="25">
        <f t="shared" si="2"/>
        <v>385000866</v>
      </c>
      <c r="Q22" s="27">
        <f t="shared" si="2"/>
        <v>3850008.66</v>
      </c>
    </row>
    <row r="26" spans="1:17" ht="12.75">
      <c r="A26" s="80" t="s">
        <v>40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ht="12.75">
      <c r="A28" s="17"/>
    </row>
  </sheetData>
  <sheetProtection/>
  <mergeCells count="13">
    <mergeCell ref="A2:Q2"/>
    <mergeCell ref="A3:Q3"/>
    <mergeCell ref="A4:Q4"/>
    <mergeCell ref="J8:K8"/>
    <mergeCell ref="P8:Q8"/>
    <mergeCell ref="A26:Q26"/>
    <mergeCell ref="B8:C8"/>
    <mergeCell ref="D8:E8"/>
    <mergeCell ref="F8:G8"/>
    <mergeCell ref="H8:I8"/>
    <mergeCell ref="A5:Q5"/>
    <mergeCell ref="L8:M8"/>
    <mergeCell ref="N8:O8"/>
  </mergeCells>
  <printOptions horizontalCentered="1"/>
  <pageMargins left="0.1968503937007874" right="0.2362204724409449" top="0.984251968503937" bottom="0.984251968503937" header="0" footer="0.39"/>
  <pageSetup horizontalDpi="600" verticalDpi="600" orientation="landscape" paperSize="9" scale="72" r:id="rId1"/>
  <headerFooter alignWithMargins="0">
    <oddFooter>&amp;L&amp;12Fuente: Fondo de Compensación del SOAT y del CAT&amp;R&amp;12&amp;P/&amp;N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1"/>
  <sheetViews>
    <sheetView zoomScalePageLayoutView="0" workbookViewId="0" topLeftCell="A1">
      <selection activeCell="O28" sqref="O28"/>
    </sheetView>
  </sheetViews>
  <sheetFormatPr defaultColWidth="11.421875" defaultRowHeight="12.75"/>
  <cols>
    <col min="1" max="1" width="13.57421875" style="0" customWidth="1"/>
    <col min="2" max="2" width="12.57421875" style="0" bestFit="1" customWidth="1"/>
    <col min="3" max="3" width="11.7109375" style="0" bestFit="1" customWidth="1"/>
    <col min="4" max="4" width="14.8515625" style="0" customWidth="1"/>
    <col min="5" max="5" width="13.28125" style="0" customWidth="1"/>
    <col min="6" max="6" width="11.8515625" style="0" bestFit="1" customWidth="1"/>
    <col min="7" max="11" width="11.7109375" style="0" bestFit="1" customWidth="1"/>
  </cols>
  <sheetData>
    <row r="2" spans="1:15" ht="18.75" thickBot="1">
      <c r="A2" s="88" t="s">
        <v>58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8.75" thickBot="1">
      <c r="A3" s="76" t="s">
        <v>38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</row>
    <row r="4" spans="1:15" ht="18.75" thickBot="1">
      <c r="A4" s="76" t="str">
        <f>Hoja1!A3</f>
        <v>AL 31 DE DICIEMBRE DE 2016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</row>
    <row r="5" ht="13.5" thickBot="1"/>
    <row r="6" spans="1:15" ht="26.25" thickBot="1">
      <c r="A6" s="20" t="s">
        <v>17</v>
      </c>
      <c r="B6" s="93" t="s">
        <v>23</v>
      </c>
      <c r="C6" s="94"/>
      <c r="D6" s="93" t="s">
        <v>24</v>
      </c>
      <c r="E6" s="94"/>
      <c r="F6" s="98" t="s">
        <v>6</v>
      </c>
      <c r="G6" s="92"/>
      <c r="H6" s="93" t="s">
        <v>25</v>
      </c>
      <c r="I6" s="94"/>
      <c r="J6" s="91" t="s">
        <v>26</v>
      </c>
      <c r="K6" s="92"/>
      <c r="L6" s="91" t="s">
        <v>56</v>
      </c>
      <c r="M6" s="92"/>
      <c r="N6" s="93" t="s">
        <v>45</v>
      </c>
      <c r="O6" s="94"/>
    </row>
    <row r="7" spans="1:15" ht="13.5" thickBot="1">
      <c r="A7" s="44"/>
      <c r="B7" s="60" t="s">
        <v>36</v>
      </c>
      <c r="C7" s="59" t="s">
        <v>37</v>
      </c>
      <c r="D7" s="60" t="s">
        <v>36</v>
      </c>
      <c r="E7" s="59" t="s">
        <v>37</v>
      </c>
      <c r="F7" s="60" t="s">
        <v>36</v>
      </c>
      <c r="G7" s="59" t="s">
        <v>37</v>
      </c>
      <c r="H7" s="60" t="s">
        <v>36</v>
      </c>
      <c r="I7" s="59" t="s">
        <v>37</v>
      </c>
      <c r="J7" s="60" t="s">
        <v>36</v>
      </c>
      <c r="K7" s="59" t="s">
        <v>37</v>
      </c>
      <c r="L7" s="60" t="s">
        <v>36</v>
      </c>
      <c r="M7" s="59" t="s">
        <v>37</v>
      </c>
      <c r="N7" s="60" t="s">
        <v>36</v>
      </c>
      <c r="O7" s="59" t="s">
        <v>37</v>
      </c>
    </row>
    <row r="8" spans="1:15" ht="13.5">
      <c r="A8" s="46" t="s">
        <v>8</v>
      </c>
      <c r="B8" s="72">
        <v>19240.46</v>
      </c>
      <c r="C8" s="51">
        <f>B8</f>
        <v>19240.46</v>
      </c>
      <c r="D8" s="57">
        <v>5221.43</v>
      </c>
      <c r="E8" s="51">
        <f>D8</f>
        <v>5221.43</v>
      </c>
      <c r="F8" s="57">
        <v>2821.78</v>
      </c>
      <c r="G8" s="51">
        <f>F8</f>
        <v>2821.78</v>
      </c>
      <c r="H8" s="57">
        <v>1953.3</v>
      </c>
      <c r="I8" s="51">
        <f>H8</f>
        <v>1953.3</v>
      </c>
      <c r="J8" s="57">
        <v>6046.93</v>
      </c>
      <c r="K8" s="51">
        <f>J8</f>
        <v>6046.93</v>
      </c>
      <c r="L8" s="57">
        <v>2177.65</v>
      </c>
      <c r="M8" s="51">
        <f>L8</f>
        <v>2177.65</v>
      </c>
      <c r="N8" s="57">
        <v>20.81</v>
      </c>
      <c r="O8" s="51">
        <f>N8</f>
        <v>20.81</v>
      </c>
    </row>
    <row r="9" spans="1:15" ht="13.5">
      <c r="A9" s="46" t="s">
        <v>9</v>
      </c>
      <c r="B9" s="72">
        <v>38259.41</v>
      </c>
      <c r="C9" s="14">
        <f aca="true" t="shared" si="0" ref="C9:C18">B9-B8</f>
        <v>19018.950000000004</v>
      </c>
      <c r="D9" s="57">
        <v>9792.76</v>
      </c>
      <c r="E9" s="14">
        <f aca="true" t="shared" si="1" ref="E9:E18">D9-D8</f>
        <v>4571.33</v>
      </c>
      <c r="F9" s="57">
        <v>5463.52</v>
      </c>
      <c r="G9" s="14">
        <f aca="true" t="shared" si="2" ref="G9:G18">F9-F8</f>
        <v>2641.7400000000002</v>
      </c>
      <c r="H9" s="73">
        <v>3494.43</v>
      </c>
      <c r="I9" s="14">
        <f aca="true" t="shared" si="3" ref="I9:I18">H9-H8</f>
        <v>1541.1299999999999</v>
      </c>
      <c r="J9" s="57">
        <v>11258.18</v>
      </c>
      <c r="K9" s="14">
        <f aca="true" t="shared" si="4" ref="K9:K18">J9-J8</f>
        <v>5211.25</v>
      </c>
      <c r="L9" s="57">
        <v>3952.43</v>
      </c>
      <c r="M9" s="14">
        <f aca="true" t="shared" si="5" ref="M9:M18">L9-L8</f>
        <v>1774.7799999999997</v>
      </c>
      <c r="N9" s="57">
        <v>28.75</v>
      </c>
      <c r="O9" s="14">
        <f aca="true" t="shared" si="6" ref="O9:O18">N9-N8</f>
        <v>7.940000000000001</v>
      </c>
    </row>
    <row r="10" spans="1:15" ht="13.5">
      <c r="A10" s="46" t="s">
        <v>10</v>
      </c>
      <c r="B10" s="72">
        <v>54276.27</v>
      </c>
      <c r="C10" s="14">
        <f t="shared" si="0"/>
        <v>16016.859999999993</v>
      </c>
      <c r="D10" s="57">
        <v>13874.91</v>
      </c>
      <c r="E10" s="14">
        <f t="shared" si="1"/>
        <v>4082.1499999999996</v>
      </c>
      <c r="F10" s="57">
        <v>7877.28</v>
      </c>
      <c r="G10" s="14">
        <f t="shared" si="2"/>
        <v>2413.7599999999993</v>
      </c>
      <c r="H10" s="57">
        <v>5291.14</v>
      </c>
      <c r="I10" s="14">
        <f t="shared" si="3"/>
        <v>1796.7100000000005</v>
      </c>
      <c r="J10" s="57">
        <v>15711.35</v>
      </c>
      <c r="K10" s="14">
        <f t="shared" si="4"/>
        <v>4453.17</v>
      </c>
      <c r="L10" s="57">
        <v>5470.77</v>
      </c>
      <c r="M10" s="14">
        <f t="shared" si="5"/>
        <v>1518.3400000000006</v>
      </c>
      <c r="N10" s="57">
        <v>97.72</v>
      </c>
      <c r="O10" s="14">
        <f t="shared" si="6"/>
        <v>68.97</v>
      </c>
    </row>
    <row r="11" spans="1:15" ht="13.5">
      <c r="A11" s="46" t="s">
        <v>11</v>
      </c>
      <c r="B11" s="73">
        <v>70849.89</v>
      </c>
      <c r="C11" s="14">
        <f t="shared" si="0"/>
        <v>16573.620000000003</v>
      </c>
      <c r="D11" s="57">
        <v>18652.03</v>
      </c>
      <c r="E11" s="14">
        <f t="shared" si="1"/>
        <v>4777.119999999999</v>
      </c>
      <c r="F11" s="73">
        <v>10482.03</v>
      </c>
      <c r="G11" s="14">
        <f t="shared" si="2"/>
        <v>2604.750000000001</v>
      </c>
      <c r="H11" s="73">
        <v>6890.12</v>
      </c>
      <c r="I11" s="14">
        <f t="shared" si="3"/>
        <v>1598.9799999999996</v>
      </c>
      <c r="J11" s="73">
        <v>19423.24</v>
      </c>
      <c r="K11" s="14">
        <f t="shared" si="4"/>
        <v>3711.8900000000012</v>
      </c>
      <c r="L11" s="73">
        <v>6949.57</v>
      </c>
      <c r="M11" s="14">
        <f t="shared" si="5"/>
        <v>1478.7999999999993</v>
      </c>
      <c r="N11" s="57">
        <v>196.97</v>
      </c>
      <c r="O11" s="14">
        <f t="shared" si="6"/>
        <v>99.25</v>
      </c>
    </row>
    <row r="12" spans="1:15" ht="13.5">
      <c r="A12" s="46" t="s">
        <v>12</v>
      </c>
      <c r="B12" s="72">
        <v>87297.02</v>
      </c>
      <c r="C12" s="14">
        <f t="shared" si="0"/>
        <v>16447.130000000005</v>
      </c>
      <c r="D12" s="57">
        <v>23421.75</v>
      </c>
      <c r="E12" s="14">
        <f t="shared" si="1"/>
        <v>4769.720000000001</v>
      </c>
      <c r="F12" s="57">
        <v>12289.1</v>
      </c>
      <c r="G12" s="14">
        <f t="shared" si="2"/>
        <v>1807.0699999999997</v>
      </c>
      <c r="H12" s="57">
        <v>8569.69</v>
      </c>
      <c r="I12" s="14">
        <f t="shared" si="3"/>
        <v>1679.5700000000006</v>
      </c>
      <c r="J12" s="57">
        <v>23791.34</v>
      </c>
      <c r="K12" s="14">
        <f t="shared" si="4"/>
        <v>4368.0999999999985</v>
      </c>
      <c r="L12" s="57">
        <v>8593.39</v>
      </c>
      <c r="M12" s="14">
        <f t="shared" si="5"/>
        <v>1643.8199999999997</v>
      </c>
      <c r="N12" s="57">
        <v>355.77</v>
      </c>
      <c r="O12" s="14">
        <f t="shared" si="6"/>
        <v>158.79999999999998</v>
      </c>
    </row>
    <row r="13" spans="1:15" ht="13.5">
      <c r="A13" s="46" t="s">
        <v>13</v>
      </c>
      <c r="B13" s="73">
        <v>103986.97</v>
      </c>
      <c r="C13" s="14">
        <f t="shared" si="0"/>
        <v>16689.949999999997</v>
      </c>
      <c r="D13" s="57">
        <v>28078.63</v>
      </c>
      <c r="E13" s="14">
        <f t="shared" si="1"/>
        <v>4656.880000000001</v>
      </c>
      <c r="F13" s="73">
        <v>14551.43</v>
      </c>
      <c r="G13" s="14">
        <f t="shared" si="2"/>
        <v>2262.33</v>
      </c>
      <c r="H13" s="57">
        <v>10243.92</v>
      </c>
      <c r="I13" s="14">
        <f t="shared" si="3"/>
        <v>1674.2299999999996</v>
      </c>
      <c r="J13" s="73">
        <v>29016.17</v>
      </c>
      <c r="K13" s="14">
        <f t="shared" si="4"/>
        <v>5224.829999999998</v>
      </c>
      <c r="L13" s="73">
        <v>10003.46</v>
      </c>
      <c r="M13" s="14">
        <f t="shared" si="5"/>
        <v>1410.0699999999997</v>
      </c>
      <c r="N13" s="57">
        <v>644.54</v>
      </c>
      <c r="O13" s="14">
        <f t="shared" si="6"/>
        <v>288.77</v>
      </c>
    </row>
    <row r="14" spans="1:15" ht="13.5">
      <c r="A14" s="46" t="s">
        <v>14</v>
      </c>
      <c r="B14" s="72">
        <v>122308.54</v>
      </c>
      <c r="C14" s="14">
        <f t="shared" si="0"/>
        <v>18321.569999999992</v>
      </c>
      <c r="D14" s="57">
        <v>33211.71</v>
      </c>
      <c r="E14" s="14">
        <f t="shared" si="1"/>
        <v>5133.079999999998</v>
      </c>
      <c r="F14" s="57">
        <v>16871.63</v>
      </c>
      <c r="G14" s="14">
        <f t="shared" si="2"/>
        <v>2320.2000000000007</v>
      </c>
      <c r="H14" s="18">
        <v>11873.68</v>
      </c>
      <c r="I14" s="14">
        <f t="shared" si="3"/>
        <v>1629.7600000000002</v>
      </c>
      <c r="J14" s="57">
        <v>36703.94</v>
      </c>
      <c r="K14" s="14">
        <f t="shared" si="4"/>
        <v>7687.770000000004</v>
      </c>
      <c r="L14" s="18">
        <v>11802.1</v>
      </c>
      <c r="M14" s="14">
        <f t="shared" si="5"/>
        <v>1798.6400000000012</v>
      </c>
      <c r="N14" s="57">
        <v>1010.01</v>
      </c>
      <c r="O14" s="14">
        <f t="shared" si="6"/>
        <v>365.47</v>
      </c>
    </row>
    <row r="15" spans="1:15" ht="13.5">
      <c r="A15" s="46" t="s">
        <v>1</v>
      </c>
      <c r="B15" s="72">
        <v>140919.63</v>
      </c>
      <c r="C15" s="14">
        <f t="shared" si="0"/>
        <v>18611.09000000001</v>
      </c>
      <c r="D15" s="57">
        <v>38598.56</v>
      </c>
      <c r="E15" s="14">
        <f t="shared" si="1"/>
        <v>5386.8499999999985</v>
      </c>
      <c r="F15" s="57">
        <v>19768.72</v>
      </c>
      <c r="G15" s="14">
        <f t="shared" si="2"/>
        <v>2897.09</v>
      </c>
      <c r="H15" s="18">
        <v>13736.74</v>
      </c>
      <c r="I15" s="14">
        <f t="shared" si="3"/>
        <v>1863.0599999999995</v>
      </c>
      <c r="J15" s="57">
        <v>41444.34</v>
      </c>
      <c r="K15" s="14">
        <f t="shared" si="4"/>
        <v>4740.399999999994</v>
      </c>
      <c r="L15" s="18">
        <v>13638.68</v>
      </c>
      <c r="M15" s="14">
        <f t="shared" si="5"/>
        <v>1836.58</v>
      </c>
      <c r="N15" s="57">
        <v>1525.46</v>
      </c>
      <c r="O15" s="14">
        <f t="shared" si="6"/>
        <v>515.45</v>
      </c>
    </row>
    <row r="16" spans="1:15" ht="13.5">
      <c r="A16" s="46" t="s">
        <v>2</v>
      </c>
      <c r="B16" s="73">
        <v>157018.91</v>
      </c>
      <c r="C16" s="14">
        <f t="shared" si="0"/>
        <v>16099.279999999999</v>
      </c>
      <c r="D16" s="73">
        <v>43922.31</v>
      </c>
      <c r="E16" s="14">
        <f t="shared" si="1"/>
        <v>5323.75</v>
      </c>
      <c r="F16" s="73">
        <v>22176.63</v>
      </c>
      <c r="G16" s="14">
        <f t="shared" si="2"/>
        <v>2407.91</v>
      </c>
      <c r="H16" s="58">
        <v>15432.55</v>
      </c>
      <c r="I16" s="14">
        <f t="shared" si="3"/>
        <v>1695.8099999999995</v>
      </c>
      <c r="J16" s="73">
        <v>45935.44</v>
      </c>
      <c r="K16" s="14">
        <f t="shared" si="4"/>
        <v>4491.100000000006</v>
      </c>
      <c r="L16" s="58">
        <v>15070.54</v>
      </c>
      <c r="M16" s="14">
        <f t="shared" si="5"/>
        <v>1431.8600000000006</v>
      </c>
      <c r="N16" s="57">
        <v>1923.91</v>
      </c>
      <c r="O16" s="14">
        <f t="shared" si="6"/>
        <v>398.45000000000005</v>
      </c>
    </row>
    <row r="17" spans="1:15" ht="13.5">
      <c r="A17" s="46" t="s">
        <v>3</v>
      </c>
      <c r="B17" s="72">
        <v>170046</v>
      </c>
      <c r="C17" s="14">
        <f t="shared" si="0"/>
        <v>13027.089999999997</v>
      </c>
      <c r="D17" s="57">
        <v>49213.41</v>
      </c>
      <c r="E17" s="14">
        <f t="shared" si="1"/>
        <v>5291.100000000006</v>
      </c>
      <c r="F17" s="57">
        <v>24440.89</v>
      </c>
      <c r="G17" s="14">
        <f t="shared" si="2"/>
        <v>2264.2599999999984</v>
      </c>
      <c r="H17" s="18">
        <v>17434.92</v>
      </c>
      <c r="I17" s="14">
        <f t="shared" si="3"/>
        <v>2002.369999999999</v>
      </c>
      <c r="J17" s="57">
        <v>49893.95</v>
      </c>
      <c r="K17" s="14">
        <f t="shared" si="4"/>
        <v>3958.5099999999948</v>
      </c>
      <c r="L17" s="18">
        <v>16527.14</v>
      </c>
      <c r="M17" s="14">
        <f t="shared" si="5"/>
        <v>1456.5999999999985</v>
      </c>
      <c r="N17" s="18">
        <v>2561.69</v>
      </c>
      <c r="O17" s="14">
        <f t="shared" si="6"/>
        <v>637.78</v>
      </c>
    </row>
    <row r="18" spans="1:15" ht="13.5">
      <c r="A18" s="46" t="s">
        <v>4</v>
      </c>
      <c r="B18" s="58">
        <v>182369.79</v>
      </c>
      <c r="C18" s="14">
        <f t="shared" si="0"/>
        <v>12323.790000000008</v>
      </c>
      <c r="D18" s="58">
        <v>54052.11</v>
      </c>
      <c r="E18" s="14">
        <f t="shared" si="1"/>
        <v>4838.699999999997</v>
      </c>
      <c r="F18" s="58">
        <v>27031.38</v>
      </c>
      <c r="G18" s="14">
        <f t="shared" si="2"/>
        <v>2590.4900000000016</v>
      </c>
      <c r="H18" s="58">
        <v>19494.13</v>
      </c>
      <c r="I18" s="14">
        <f t="shared" si="3"/>
        <v>2059.2100000000028</v>
      </c>
      <c r="J18" s="58">
        <v>53704.03</v>
      </c>
      <c r="K18" s="14">
        <f t="shared" si="4"/>
        <v>3810.0800000000017</v>
      </c>
      <c r="L18" s="58">
        <v>17879.74</v>
      </c>
      <c r="M18" s="14">
        <f t="shared" si="5"/>
        <v>1352.6000000000022</v>
      </c>
      <c r="N18" s="58">
        <v>3382.15</v>
      </c>
      <c r="O18" s="14">
        <f t="shared" si="6"/>
        <v>820.46</v>
      </c>
    </row>
    <row r="19" spans="1:15" ht="14.25" thickBot="1">
      <c r="A19" s="61" t="s">
        <v>5</v>
      </c>
      <c r="B19" s="52"/>
      <c r="C19" s="48"/>
      <c r="D19" s="52"/>
      <c r="E19" s="48"/>
      <c r="F19" s="52"/>
      <c r="G19" s="48"/>
      <c r="H19" s="52"/>
      <c r="I19" s="48"/>
      <c r="J19" s="52"/>
      <c r="K19" s="48"/>
      <c r="L19" s="52"/>
      <c r="M19" s="48"/>
      <c r="N19" s="70"/>
      <c r="O19" s="48"/>
    </row>
    <row r="22" spans="1:11" ht="12.75">
      <c r="A22" s="96" t="s">
        <v>59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</row>
    <row r="23" spans="1:11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</row>
    <row r="24" spans="1:11" ht="12.7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</row>
    <row r="25" spans="1:11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</row>
    <row r="28" spans="3:5" ht="12.75">
      <c r="C28" s="53" t="s">
        <v>48</v>
      </c>
      <c r="D28" s="97" t="s">
        <v>47</v>
      </c>
      <c r="E28" s="97" t="s">
        <v>49</v>
      </c>
    </row>
    <row r="29" spans="3:5" ht="12.75">
      <c r="C29" s="54" t="s">
        <v>51</v>
      </c>
      <c r="D29" s="97"/>
      <c r="E29" s="97"/>
    </row>
    <row r="30" spans="3:5" ht="12.75">
      <c r="C30" s="54" t="s">
        <v>50</v>
      </c>
      <c r="D30" s="53"/>
      <c r="E30" s="53"/>
    </row>
    <row r="31" spans="3:5" ht="12.75">
      <c r="C31" s="55">
        <v>164900</v>
      </c>
      <c r="D31" s="55">
        <v>166577.95</v>
      </c>
      <c r="E31" s="55" t="e">
        <f>#REF!-D31</f>
        <v>#REF!</v>
      </c>
    </row>
    <row r="32" spans="3:5" ht="12.75">
      <c r="C32" s="55"/>
      <c r="D32" s="55"/>
      <c r="E32" s="55"/>
    </row>
    <row r="33" spans="3:5" ht="12.75">
      <c r="C33" s="55"/>
      <c r="D33" s="55"/>
      <c r="E33" s="55"/>
    </row>
    <row r="34" spans="3:5" ht="12.75">
      <c r="C34" s="55"/>
      <c r="D34" s="55"/>
      <c r="E34" s="55"/>
    </row>
    <row r="35" spans="3:5" ht="12.75">
      <c r="C35" s="55"/>
      <c r="D35" s="55"/>
      <c r="E35" s="55"/>
    </row>
    <row r="36" spans="3:5" ht="12.75">
      <c r="C36" s="55"/>
      <c r="D36" s="55"/>
      <c r="E36" s="55"/>
    </row>
    <row r="37" spans="3:5" ht="12.75">
      <c r="C37" s="55"/>
      <c r="D37" s="55"/>
      <c r="E37" s="55"/>
    </row>
    <row r="38" spans="3:5" ht="12.75">
      <c r="C38" s="55"/>
      <c r="D38" s="55"/>
      <c r="E38" s="55"/>
    </row>
    <row r="39" spans="3:5" ht="12.75">
      <c r="C39" s="55"/>
      <c r="D39" s="55"/>
      <c r="E39" s="55"/>
    </row>
    <row r="40" spans="3:5" ht="12.75">
      <c r="C40" s="55"/>
      <c r="D40" s="55"/>
      <c r="E40" s="55"/>
    </row>
    <row r="41" spans="3:5" ht="12.75">
      <c r="C41" s="55"/>
      <c r="D41" s="55"/>
      <c r="E41" s="55"/>
    </row>
    <row r="42" spans="3:5" ht="12.75">
      <c r="C42" s="55"/>
      <c r="D42" s="55"/>
      <c r="E42" s="55"/>
    </row>
    <row r="43" spans="3:5" ht="12.75">
      <c r="C43" s="95" t="s">
        <v>42</v>
      </c>
      <c r="D43" s="95"/>
      <c r="E43" s="56" t="e">
        <f>SUM(E31:E42)</f>
        <v>#REF!</v>
      </c>
    </row>
    <row r="46" spans="3:5" ht="12.75">
      <c r="C46" s="53" t="s">
        <v>52</v>
      </c>
      <c r="D46" s="97" t="s">
        <v>47</v>
      </c>
      <c r="E46" s="97" t="s">
        <v>49</v>
      </c>
    </row>
    <row r="47" spans="3:5" ht="12.75">
      <c r="C47" s="54" t="s">
        <v>51</v>
      </c>
      <c r="D47" s="97"/>
      <c r="E47" s="97"/>
    </row>
    <row r="48" spans="3:5" ht="12.75">
      <c r="C48" s="54" t="s">
        <v>50</v>
      </c>
      <c r="D48" s="53"/>
      <c r="E48" s="53"/>
    </row>
    <row r="49" spans="3:5" ht="12.75">
      <c r="C49" s="55">
        <v>0</v>
      </c>
      <c r="D49" s="55">
        <v>166577.95</v>
      </c>
      <c r="E49" s="55" t="e">
        <f>#REF!-D49</f>
        <v>#REF!</v>
      </c>
    </row>
    <row r="50" spans="3:5" ht="12.75">
      <c r="C50" s="55"/>
      <c r="D50" s="55"/>
      <c r="E50" s="55"/>
    </row>
    <row r="51" spans="3:5" ht="12.75">
      <c r="C51" s="55"/>
      <c r="D51" s="55"/>
      <c r="E51" s="55"/>
    </row>
    <row r="52" spans="3:5" ht="12.75">
      <c r="C52" s="55"/>
      <c r="D52" s="55"/>
      <c r="E52" s="55"/>
    </row>
    <row r="53" spans="3:5" ht="12.75">
      <c r="C53" s="55"/>
      <c r="D53" s="55"/>
      <c r="E53" s="55"/>
    </row>
    <row r="54" spans="3:9" ht="12.75">
      <c r="C54" s="55"/>
      <c r="D54" s="55"/>
      <c r="E54" s="55"/>
      <c r="I54" t="s">
        <v>54</v>
      </c>
    </row>
    <row r="55" spans="3:5" ht="12.75">
      <c r="C55" s="55"/>
      <c r="D55" s="55"/>
      <c r="E55" s="55"/>
    </row>
    <row r="56" spans="3:5" ht="12.75">
      <c r="C56" s="55"/>
      <c r="D56" s="55"/>
      <c r="E56" s="55"/>
    </row>
    <row r="57" spans="3:5" ht="12.75">
      <c r="C57" s="55"/>
      <c r="D57" s="55"/>
      <c r="E57" s="55"/>
    </row>
    <row r="58" spans="3:5" ht="12.75">
      <c r="C58" s="55"/>
      <c r="D58" s="55"/>
      <c r="E58" s="55"/>
    </row>
    <row r="59" spans="3:5" ht="12.75">
      <c r="C59" s="55"/>
      <c r="D59" s="55"/>
      <c r="E59" s="55"/>
    </row>
    <row r="60" spans="3:5" ht="12.75">
      <c r="C60" s="55"/>
      <c r="D60" s="55"/>
      <c r="E60" s="55"/>
    </row>
    <row r="61" spans="3:5" ht="12.75">
      <c r="C61" s="95" t="s">
        <v>42</v>
      </c>
      <c r="D61" s="95"/>
      <c r="E61" s="56" t="e">
        <f>SUM(E49:E60)</f>
        <v>#REF!</v>
      </c>
    </row>
  </sheetData>
  <sheetProtection/>
  <mergeCells count="18">
    <mergeCell ref="A3:O3"/>
    <mergeCell ref="A4:O4"/>
    <mergeCell ref="A2:O2"/>
    <mergeCell ref="L6:M6"/>
    <mergeCell ref="D46:D47"/>
    <mergeCell ref="E46:E47"/>
    <mergeCell ref="B6:C6"/>
    <mergeCell ref="D6:E6"/>
    <mergeCell ref="F6:G6"/>
    <mergeCell ref="H6:I6"/>
    <mergeCell ref="J6:K6"/>
    <mergeCell ref="N6:O6"/>
    <mergeCell ref="C61:D61"/>
    <mergeCell ref="A24:K25"/>
    <mergeCell ref="A22:K23"/>
    <mergeCell ref="D28:D29"/>
    <mergeCell ref="E28:E29"/>
    <mergeCell ref="C43:D43"/>
  </mergeCells>
  <printOptions horizontalCentered="1"/>
  <pageMargins left="0.15748031496062992" right="0.3937007874015748" top="0.984251968503937" bottom="0.984251968503937" header="0" footer="0.45"/>
  <pageSetup horizontalDpi="600" verticalDpi="600" orientation="landscape" paperSize="9" scale="78" r:id="rId1"/>
  <headerFooter alignWithMargins="0">
    <oddFooter>&amp;L&amp;9Fuente: Fondo de Compensación del SOAT y del CAT&amp;R&amp;9&amp;P/&amp;N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GSUAREZ</dc:creator>
  <cp:keywords/>
  <dc:description/>
  <cp:lastModifiedBy>Suárez Estrada, Guillermo</cp:lastModifiedBy>
  <cp:lastPrinted>2015-05-14T16:48:03Z</cp:lastPrinted>
  <dcterms:created xsi:type="dcterms:W3CDTF">2004-08-27T14:51:49Z</dcterms:created>
  <dcterms:modified xsi:type="dcterms:W3CDTF">2017-06-16T13:46:30Z</dcterms:modified>
  <cp:category/>
  <cp:version/>
  <cp:contentType/>
  <cp:contentStatus/>
</cp:coreProperties>
</file>